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irectorios\"/>
    </mc:Choice>
  </mc:AlternateContent>
  <bookViews>
    <workbookView xWindow="0" yWindow="0" windowWidth="21570" windowHeight="8085" tabRatio="166"/>
  </bookViews>
  <sheets>
    <sheet name="CONTRATOS" sheetId="9" r:id="rId1"/>
    <sheet name="Hoja8" sheetId="8" state="hidden" r:id="rId2"/>
  </sheets>
  <definedNames>
    <definedName name="_xlnm._FilterDatabase" localSheetId="0" hidden="1">CONTRATOS!$A$1:$Y$805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34" i="9" l="1"/>
  <c r="B633" i="9"/>
  <c r="B134" i="9"/>
  <c r="B767" i="9"/>
  <c r="B505" i="9"/>
  <c r="B504" i="9"/>
  <c r="B752" i="9"/>
  <c r="B766" i="9"/>
  <c r="B635" i="9"/>
  <c r="B632" i="9"/>
  <c r="B503" i="9"/>
  <c r="B636" i="9"/>
  <c r="B631" i="9"/>
  <c r="B637" i="9"/>
  <c r="B97" i="9"/>
  <c r="B630" i="9"/>
  <c r="B721" i="9"/>
  <c r="B765" i="9"/>
  <c r="B258" i="9"/>
  <c r="B764" i="9"/>
  <c r="B763" i="9"/>
  <c r="B762" i="9"/>
  <c r="B74" i="9"/>
  <c r="B502" i="9"/>
  <c r="B761" i="9"/>
  <c r="B629" i="9"/>
  <c r="B720" i="9"/>
  <c r="B760" i="9"/>
  <c r="B759" i="9"/>
  <c r="B758" i="9"/>
  <c r="B439" i="9"/>
  <c r="B361" i="9"/>
  <c r="B757" i="9"/>
  <c r="B756" i="9"/>
  <c r="B628" i="9"/>
  <c r="B627" i="9"/>
  <c r="B501" i="9"/>
  <c r="B755" i="9"/>
  <c r="B719" i="9"/>
  <c r="B718" i="9"/>
  <c r="B257" i="9"/>
  <c r="B256" i="9"/>
  <c r="B754" i="9"/>
  <c r="B500" i="9"/>
  <c r="B805" i="9"/>
  <c r="B626" i="9"/>
  <c r="B625" i="9"/>
  <c r="B499" i="9"/>
  <c r="B717" i="9"/>
  <c r="B161" i="9"/>
  <c r="B624" i="9"/>
  <c r="B130" i="9"/>
  <c r="B67" i="9"/>
  <c r="B66" i="9"/>
  <c r="B69" i="9"/>
  <c r="B68" i="9"/>
  <c r="B119" i="9"/>
  <c r="B250" i="9"/>
  <c r="B249" i="9"/>
  <c r="B278" i="9"/>
  <c r="B623" i="9"/>
  <c r="B804" i="9"/>
  <c r="B753" i="9"/>
  <c r="B248" i="9"/>
  <c r="B247" i="9"/>
  <c r="B360" i="9"/>
  <c r="B359" i="9"/>
  <c r="B358" i="9"/>
  <c r="B357" i="9"/>
  <c r="B120" i="9"/>
  <c r="B622" i="9"/>
  <c r="B491" i="9"/>
  <c r="B490" i="9"/>
  <c r="B356" i="9"/>
  <c r="B355" i="9"/>
  <c r="B354" i="9"/>
  <c r="B353" i="9"/>
  <c r="B352" i="9"/>
  <c r="B351" i="9"/>
  <c r="B621" i="9"/>
  <c r="B489" i="9"/>
  <c r="B488" i="9"/>
  <c r="B342" i="9"/>
  <c r="B802" i="9"/>
  <c r="B350" i="9"/>
  <c r="B343" i="9"/>
  <c r="B341" i="9"/>
  <c r="B750" i="9"/>
  <c r="B619" i="9"/>
  <c r="B620" i="9"/>
  <c r="B547" i="9"/>
  <c r="B548" i="9"/>
  <c r="B160" i="9"/>
  <c r="B349" i="9"/>
  <c r="B348" i="9"/>
  <c r="B347" i="9"/>
  <c r="B346" i="9"/>
  <c r="B245" i="9"/>
  <c r="B244" i="9"/>
  <c r="B243" i="9"/>
  <c r="B246" i="9"/>
  <c r="B242" i="9"/>
  <c r="B102" i="9"/>
  <c r="B241" i="9"/>
  <c r="B129" i="9"/>
  <c r="B127" i="9"/>
  <c r="B128" i="9"/>
  <c r="B345" i="9"/>
  <c r="B344" i="9"/>
  <c r="B338" i="9"/>
  <c r="B340" i="9"/>
  <c r="B337" i="9"/>
  <c r="B339" i="9"/>
  <c r="B277" i="9"/>
  <c r="B618" i="9"/>
  <c r="B617" i="9"/>
  <c r="B614" i="9"/>
  <c r="B616" i="9"/>
  <c r="B613" i="9"/>
  <c r="B612" i="9"/>
  <c r="B611" i="9"/>
  <c r="B610" i="9"/>
  <c r="B609" i="9"/>
  <c r="B608" i="9"/>
  <c r="B118" i="9"/>
  <c r="B606" i="9"/>
  <c r="B607" i="9"/>
  <c r="B605" i="9"/>
  <c r="B604" i="9"/>
  <c r="B336" i="9"/>
  <c r="B603" i="9"/>
  <c r="B65" i="9"/>
  <c r="B64" i="9"/>
  <c r="B63" i="9"/>
  <c r="B62" i="9"/>
  <c r="B61" i="9"/>
  <c r="B60" i="9"/>
  <c r="B237" i="9"/>
  <c r="B236" i="9"/>
  <c r="B602" i="9"/>
  <c r="B235" i="9"/>
  <c r="B234" i="9"/>
  <c r="B233" i="9"/>
  <c r="B59" i="9"/>
  <c r="B601" i="9"/>
  <c r="B600" i="9"/>
  <c r="B232" i="9"/>
  <c r="B231" i="9"/>
  <c r="B599" i="9"/>
  <c r="B230" i="9"/>
  <c r="B229" i="9"/>
  <c r="B748" i="9"/>
  <c r="B749" i="9"/>
  <c r="B598" i="9"/>
  <c r="B597" i="9"/>
  <c r="B228" i="9"/>
  <c r="B227" i="9"/>
  <c r="B226" i="9"/>
  <c r="B747" i="9"/>
  <c r="B746" i="9"/>
  <c r="B225" i="9"/>
  <c r="B224" i="9"/>
  <c r="B58" i="9"/>
  <c r="B745" i="9"/>
  <c r="B484" i="9"/>
  <c r="B483" i="9"/>
  <c r="B335" i="9"/>
  <c r="B482" i="9"/>
  <c r="B744" i="9"/>
  <c r="B743" i="9"/>
  <c r="B742" i="9"/>
  <c r="B741" i="9"/>
  <c r="B740" i="9"/>
  <c r="B739" i="9"/>
  <c r="B738" i="9"/>
  <c r="B803" i="9"/>
  <c r="B481" i="9"/>
  <c r="B57" i="9"/>
  <c r="B220" i="9"/>
  <c r="B219" i="9"/>
  <c r="B480" i="9"/>
  <c r="B218" i="9"/>
  <c r="B217" i="9"/>
  <c r="B56" i="9"/>
  <c r="B55" i="9"/>
  <c r="B54" i="9"/>
  <c r="B53" i="9"/>
  <c r="B52" i="9"/>
  <c r="B51" i="9"/>
  <c r="B50" i="9"/>
  <c r="B49" i="9"/>
  <c r="B48" i="9"/>
  <c r="B47" i="9"/>
  <c r="B46" i="9"/>
  <c r="B45" i="9"/>
  <c r="B44" i="9"/>
  <c r="B737" i="9"/>
  <c r="B789" i="9"/>
  <c r="B790" i="9"/>
  <c r="B787" i="9"/>
  <c r="B43" i="9"/>
  <c r="B801" i="9"/>
  <c r="B216" i="9"/>
  <c r="B211" i="9"/>
  <c r="B215" i="9"/>
  <c r="B214" i="9"/>
  <c r="B213" i="9"/>
  <c r="B212" i="9"/>
  <c r="B210" i="9"/>
  <c r="B209" i="9"/>
  <c r="B208" i="9"/>
  <c r="B179" i="9"/>
  <c r="B178" i="9"/>
  <c r="B546" i="9"/>
  <c r="B207" i="9"/>
  <c r="B206" i="9"/>
  <c r="B615" i="9"/>
  <c r="B240" i="9"/>
  <c r="B239" i="9"/>
  <c r="B643" i="9"/>
  <c r="B642" i="9"/>
  <c r="B73" i="9"/>
  <c r="B72" i="9"/>
  <c r="B71" i="9"/>
  <c r="B498" i="9"/>
  <c r="B497" i="9"/>
  <c r="B496" i="9"/>
  <c r="B751" i="9"/>
  <c r="B495" i="9"/>
  <c r="B487" i="9"/>
  <c r="B800" i="9"/>
  <c r="B585" i="9"/>
  <c r="B584" i="9"/>
  <c r="B494" i="9"/>
  <c r="B255" i="9"/>
  <c r="B254" i="9"/>
  <c r="B253" i="9"/>
  <c r="B252" i="9"/>
  <c r="B183" i="9"/>
  <c r="B493" i="9"/>
  <c r="B734" i="9"/>
  <c r="B486" i="9"/>
  <c r="B70" i="9"/>
  <c r="B485" i="9"/>
  <c r="B736" i="9"/>
  <c r="B795" i="9"/>
  <c r="B797" i="9"/>
  <c r="B735" i="9"/>
  <c r="B492" i="9"/>
  <c r="B238" i="9"/>
  <c r="B768" i="9"/>
  <c r="B282" i="9"/>
  <c r="B713" i="9"/>
  <c r="B716" i="9"/>
  <c r="B712" i="9"/>
  <c r="B715" i="9"/>
  <c r="B714" i="9"/>
  <c r="B280" i="9"/>
  <c r="B279" i="9"/>
  <c r="B332" i="9"/>
  <c r="B478" i="9"/>
  <c r="B510" i="9"/>
  <c r="B477" i="9"/>
  <c r="B96" i="9"/>
  <c r="B475" i="9"/>
  <c r="B42" i="9"/>
  <c r="B793" i="9"/>
  <c r="B182" i="9"/>
  <c r="B181" i="9"/>
  <c r="B474" i="9"/>
  <c r="B710" i="9"/>
  <c r="B709" i="9"/>
  <c r="B708" i="9"/>
  <c r="B711" i="9"/>
  <c r="B159" i="9"/>
  <c r="B117" i="9"/>
  <c r="B158" i="9"/>
  <c r="B705" i="9"/>
  <c r="B704" i="9"/>
  <c r="B703" i="9"/>
  <c r="B702" i="9"/>
  <c r="B707" i="9"/>
  <c r="B701" i="9"/>
  <c r="B706" i="9"/>
  <c r="B700" i="9"/>
  <c r="B699" i="9"/>
  <c r="B412" i="9"/>
  <c r="B325" i="9"/>
  <c r="B324" i="9"/>
  <c r="B94" i="9"/>
  <c r="B180" i="9"/>
  <c r="B788" i="9"/>
  <c r="B89" i="9"/>
  <c r="B95" i="9"/>
  <c r="B93" i="9"/>
  <c r="B92" i="9"/>
  <c r="B411" i="9"/>
  <c r="B126" i="9"/>
  <c r="B470" i="9"/>
  <c r="B472" i="9"/>
  <c r="B276" i="9"/>
  <c r="B596" i="9"/>
  <c r="B334" i="9"/>
  <c r="B156" i="9"/>
  <c r="B155" i="9"/>
  <c r="B157" i="9"/>
  <c r="B154" i="9"/>
  <c r="B91" i="9"/>
  <c r="B311" i="9"/>
  <c r="B466" i="9"/>
  <c r="B205" i="9"/>
  <c r="B204" i="9"/>
  <c r="B203" i="9"/>
  <c r="B202" i="9"/>
  <c r="B201" i="9"/>
  <c r="B733" i="9"/>
  <c r="B200" i="9"/>
  <c r="B199" i="9"/>
  <c r="B198" i="9"/>
  <c r="B197" i="9"/>
  <c r="B196" i="9"/>
  <c r="B195" i="9"/>
  <c r="B194" i="9"/>
  <c r="B193" i="9"/>
  <c r="B192" i="9"/>
  <c r="B191" i="9"/>
  <c r="B190" i="9"/>
  <c r="B465" i="9"/>
  <c r="B464" i="9"/>
  <c r="B463" i="9"/>
  <c r="B462" i="9"/>
  <c r="B468" i="9"/>
  <c r="B461" i="9"/>
  <c r="B362" i="9"/>
  <c r="B460" i="9"/>
  <c r="B459" i="9"/>
  <c r="B458" i="9"/>
  <c r="B457" i="9"/>
  <c r="B320" i="9"/>
  <c r="B509" i="9"/>
  <c r="B508" i="9"/>
  <c r="B507" i="9"/>
  <c r="B467" i="9"/>
  <c r="B456" i="9"/>
  <c r="B32" i="9"/>
  <c r="B34" i="9"/>
  <c r="B446" i="9"/>
  <c r="B153" i="9"/>
  <c r="B152" i="9"/>
  <c r="B698" i="9"/>
  <c r="B697" i="9"/>
  <c r="B695" i="9"/>
  <c r="B694" i="9"/>
  <c r="B693" i="9"/>
  <c r="B696" i="9"/>
  <c r="B692" i="9"/>
  <c r="B691" i="9"/>
  <c r="B690" i="9"/>
  <c r="B689" i="9"/>
  <c r="B688" i="9"/>
  <c r="B687" i="9"/>
  <c r="B686" i="9"/>
  <c r="B678" i="9"/>
  <c r="B685" i="9"/>
  <c r="B684" i="9"/>
  <c r="B677" i="9"/>
  <c r="B683" i="9"/>
  <c r="B682" i="9"/>
  <c r="B681" i="9"/>
  <c r="B680" i="9"/>
  <c r="B679" i="9"/>
  <c r="B799" i="9"/>
  <c r="B438" i="9"/>
  <c r="B125" i="9"/>
  <c r="B302" i="9"/>
  <c r="B333" i="9"/>
  <c r="B189" i="9"/>
  <c r="B101" i="9"/>
  <c r="B150" i="9"/>
  <c r="B301" i="9"/>
  <c r="B149" i="9"/>
  <c r="B148" i="9"/>
  <c r="B151" i="9"/>
  <c r="B595" i="9"/>
  <c r="B593" i="9"/>
  <c r="B594" i="9"/>
  <c r="B177" i="9"/>
  <c r="B798" i="9"/>
  <c r="B796" i="9"/>
  <c r="B592" i="9"/>
  <c r="B591" i="9"/>
  <c r="B110" i="9"/>
  <c r="B590" i="9"/>
  <c r="B90" i="9"/>
  <c r="B377" i="9"/>
  <c r="B376" i="9"/>
  <c r="B380" i="9"/>
  <c r="B375" i="9"/>
  <c r="B374" i="9"/>
  <c r="B379" i="9"/>
  <c r="B373" i="9"/>
  <c r="B147" i="9"/>
  <c r="B146" i="9"/>
  <c r="B372" i="9"/>
  <c r="B378" i="9"/>
  <c r="B223" i="9"/>
  <c r="B222" i="9"/>
  <c r="B221" i="9"/>
  <c r="B589" i="9"/>
  <c r="B331" i="9"/>
  <c r="B794" i="9"/>
  <c r="B188" i="9"/>
  <c r="B187" i="9"/>
  <c r="B367" i="9"/>
  <c r="B330" i="9"/>
  <c r="B371" i="9"/>
  <c r="B370" i="9"/>
  <c r="B369" i="9"/>
  <c r="B476" i="9"/>
  <c r="B329" i="9"/>
  <c r="B676" i="9"/>
  <c r="B186" i="9"/>
  <c r="B185" i="9"/>
  <c r="B368" i="9"/>
  <c r="B328" i="9"/>
  <c r="B184" i="9"/>
  <c r="B366" i="9"/>
  <c r="B365" i="9"/>
  <c r="B792" i="9"/>
  <c r="B111" i="9"/>
  <c r="B675" i="9"/>
  <c r="B791" i="9"/>
  <c r="B410" i="9"/>
  <c r="B41" i="9"/>
  <c r="B40" i="9"/>
  <c r="B39" i="9"/>
  <c r="B674" i="9"/>
  <c r="B409" i="9"/>
  <c r="B728" i="9"/>
  <c r="B408" i="9"/>
  <c r="B407" i="9"/>
  <c r="B406" i="9"/>
  <c r="B27" i="9"/>
  <c r="B327" i="9"/>
  <c r="B473" i="9"/>
  <c r="B326" i="9"/>
  <c r="B25" i="9"/>
  <c r="B24" i="9"/>
  <c r="B26" i="9"/>
  <c r="B405" i="9"/>
  <c r="B404" i="9"/>
  <c r="B403" i="9"/>
  <c r="B588" i="9"/>
  <c r="B587" i="9"/>
  <c r="B586" i="9"/>
  <c r="B402" i="9"/>
  <c r="B322" i="9"/>
  <c r="B401" i="9"/>
  <c r="B400" i="9"/>
  <c r="B399" i="9"/>
  <c r="B469" i="9"/>
  <c r="B398" i="9"/>
  <c r="B397" i="9"/>
  <c r="B396" i="9"/>
  <c r="B176" i="9"/>
  <c r="B38" i="9"/>
  <c r="B37" i="9"/>
  <c r="B36" i="9"/>
  <c r="B35" i="9"/>
  <c r="B726" i="9"/>
  <c r="B786" i="9"/>
  <c r="B175" i="9"/>
  <c r="B725" i="9"/>
  <c r="B724" i="9"/>
  <c r="B727" i="9"/>
  <c r="B723" i="9"/>
  <c r="B471" i="9"/>
  <c r="B133" i="9"/>
  <c r="B132" i="9"/>
  <c r="B144" i="9"/>
  <c r="B145" i="9"/>
  <c r="B321" i="9"/>
  <c r="B275" i="9"/>
  <c r="B274" i="9"/>
  <c r="B23" i="9"/>
  <c r="B732" i="9"/>
  <c r="B319" i="9"/>
  <c r="B318" i="9"/>
  <c r="B317" i="9"/>
  <c r="B316" i="9"/>
  <c r="B315" i="9"/>
  <c r="B323" i="9"/>
  <c r="B479" i="9"/>
  <c r="B314" i="9"/>
  <c r="B779" i="9"/>
  <c r="B545" i="9"/>
  <c r="B544" i="9"/>
  <c r="B543" i="9"/>
  <c r="B542" i="9"/>
  <c r="B455" i="9"/>
  <c r="B661" i="9"/>
  <c r="B395" i="9"/>
  <c r="B454" i="9"/>
  <c r="B453" i="9"/>
  <c r="B272" i="9"/>
  <c r="B452" i="9"/>
  <c r="B451" i="9"/>
  <c r="B450" i="9"/>
  <c r="B449" i="9"/>
  <c r="B778" i="9"/>
  <c r="B448" i="9"/>
  <c r="B447" i="9"/>
  <c r="B394" i="9"/>
  <c r="B393" i="9"/>
  <c r="B310" i="9"/>
  <c r="B313" i="9"/>
  <c r="B309" i="9"/>
  <c r="B312" i="9"/>
  <c r="B33" i="9"/>
  <c r="B124" i="9"/>
  <c r="B116" i="9"/>
  <c r="B115" i="9"/>
  <c r="B114" i="9"/>
  <c r="B113" i="9"/>
  <c r="B112" i="9"/>
  <c r="B19" i="9"/>
  <c r="B18" i="9"/>
  <c r="B17" i="9"/>
  <c r="B660" i="9"/>
  <c r="B583" i="9"/>
  <c r="B170" i="9"/>
  <c r="B174" i="9"/>
  <c r="B173" i="9"/>
  <c r="B169" i="9"/>
  <c r="B123" i="9"/>
  <c r="B122" i="9"/>
  <c r="B109" i="9"/>
  <c r="B300" i="9"/>
  <c r="B573" i="9"/>
  <c r="B659" i="9"/>
  <c r="B658" i="9"/>
  <c r="B657" i="9"/>
  <c r="B666" i="9"/>
  <c r="B251" i="9"/>
  <c r="B172" i="9"/>
  <c r="B164" i="9"/>
  <c r="B785" i="9"/>
  <c r="B168" i="9"/>
  <c r="B167" i="9"/>
  <c r="B166" i="9"/>
  <c r="B437" i="9"/>
  <c r="B436" i="9"/>
  <c r="B435" i="9"/>
  <c r="B434" i="9"/>
  <c r="B433" i="9"/>
  <c r="B777" i="9"/>
  <c r="B432" i="9"/>
  <c r="B431" i="9"/>
  <c r="B430" i="9"/>
  <c r="B429" i="9"/>
  <c r="B428" i="9"/>
  <c r="B392" i="9"/>
  <c r="B391" i="9"/>
  <c r="B390" i="9"/>
  <c r="B672" i="9"/>
  <c r="B389" i="9"/>
  <c r="B388" i="9"/>
  <c r="B427" i="9"/>
  <c r="B426" i="9"/>
  <c r="B445" i="9"/>
  <c r="B425" i="9"/>
  <c r="B387" i="9"/>
  <c r="B386" i="9"/>
  <c r="B444" i="9"/>
  <c r="B424" i="9"/>
  <c r="B443" i="9"/>
  <c r="B423" i="9"/>
  <c r="B442" i="9"/>
  <c r="B385" i="9"/>
  <c r="B422" i="9"/>
  <c r="B384" i="9"/>
  <c r="B421" i="9"/>
  <c r="B420" i="9"/>
  <c r="B441" i="9"/>
  <c r="B383" i="9"/>
  <c r="B419" i="9"/>
  <c r="B418" i="9"/>
  <c r="B417" i="9"/>
  <c r="B382" i="9"/>
  <c r="B416" i="9"/>
  <c r="B440" i="9"/>
  <c r="B415" i="9"/>
  <c r="B414" i="9"/>
  <c r="B413" i="9"/>
  <c r="B656" i="9"/>
  <c r="B673" i="9"/>
  <c r="B655" i="9"/>
  <c r="B654" i="9"/>
  <c r="B671" i="9"/>
  <c r="B665" i="9"/>
  <c r="B653" i="9"/>
  <c r="B652" i="9"/>
  <c r="B670" i="9"/>
  <c r="B651" i="9"/>
  <c r="B664" i="9"/>
  <c r="B650" i="9"/>
  <c r="B649" i="9"/>
  <c r="B669" i="9"/>
  <c r="B648" i="9"/>
  <c r="B668" i="9"/>
  <c r="B647" i="9"/>
  <c r="B646" i="9"/>
  <c r="B645" i="9"/>
  <c r="B644" i="9"/>
  <c r="B663" i="9"/>
  <c r="B662" i="9"/>
  <c r="B667" i="9"/>
  <c r="B582" i="9"/>
  <c r="B572" i="9"/>
  <c r="B571" i="9"/>
  <c r="B570" i="9"/>
  <c r="B16" i="9"/>
  <c r="B581" i="9"/>
  <c r="B580" i="9"/>
  <c r="B569" i="9"/>
  <c r="B568" i="9"/>
  <c r="B567" i="9"/>
  <c r="B566" i="9"/>
  <c r="B579" i="9"/>
  <c r="B565" i="9"/>
  <c r="B578" i="9"/>
  <c r="B564" i="9"/>
  <c r="B563" i="9"/>
  <c r="B31" i="9"/>
  <c r="B22" i="9"/>
  <c r="B15" i="9"/>
  <c r="B562" i="9"/>
  <c r="B30" i="9"/>
  <c r="B577" i="9"/>
  <c r="B561" i="9"/>
  <c r="B560" i="9"/>
  <c r="B576" i="9"/>
  <c r="B308" i="9"/>
  <c r="B559" i="9"/>
  <c r="B558" i="9"/>
  <c r="B575" i="9"/>
  <c r="B165" i="9"/>
  <c r="B574" i="9"/>
  <c r="B557" i="9"/>
  <c r="B556" i="9"/>
  <c r="B555" i="9"/>
  <c r="B554" i="9"/>
  <c r="B784" i="9"/>
  <c r="B783" i="9"/>
  <c r="B782" i="9"/>
  <c r="B776" i="9"/>
  <c r="B781" i="9"/>
  <c r="B775" i="9"/>
  <c r="B780" i="9"/>
  <c r="B88" i="9"/>
  <c r="B86" i="9"/>
  <c r="B85" i="9"/>
  <c r="B84" i="9"/>
  <c r="B774" i="9"/>
  <c r="B83" i="9"/>
  <c r="B82" i="9"/>
  <c r="B81" i="9"/>
  <c r="B80" i="9"/>
  <c r="B79" i="9"/>
  <c r="B78" i="9"/>
  <c r="B77" i="9"/>
  <c r="B87" i="9"/>
  <c r="B76" i="9"/>
  <c r="B143" i="9"/>
  <c r="B141" i="9"/>
  <c r="B140" i="9"/>
  <c r="B142" i="9"/>
  <c r="B139" i="9"/>
  <c r="B269" i="9"/>
  <c r="B138" i="9"/>
  <c r="B268" i="9"/>
  <c r="B273" i="9"/>
  <c r="B271" i="9"/>
  <c r="B267" i="9"/>
  <c r="B137" i="9"/>
  <c r="B266" i="9"/>
  <c r="B265" i="9"/>
  <c r="B264" i="9"/>
  <c r="B270" i="9"/>
  <c r="B263" i="9"/>
  <c r="B262" i="9"/>
  <c r="B108" i="9"/>
  <c r="B107" i="9"/>
  <c r="B106" i="9"/>
  <c r="B105" i="9"/>
  <c r="B104" i="9"/>
  <c r="B103" i="9"/>
  <c r="B553" i="9"/>
  <c r="B552" i="9"/>
  <c r="B299" i="9"/>
  <c r="B298" i="9"/>
  <c r="B297" i="9"/>
  <c r="B307" i="9"/>
  <c r="B296" i="9"/>
  <c r="B295" i="9"/>
  <c r="B294" i="9"/>
  <c r="B306" i="9"/>
  <c r="B293" i="9"/>
  <c r="B292" i="9"/>
  <c r="B291" i="9"/>
  <c r="B281" i="9"/>
  <c r="B290" i="9"/>
  <c r="B289" i="9"/>
  <c r="B288" i="9"/>
  <c r="B287" i="9"/>
  <c r="B286" i="9"/>
  <c r="B305" i="9"/>
  <c r="B304" i="9"/>
  <c r="B303" i="9"/>
  <c r="B285" i="9"/>
  <c r="B284" i="9"/>
  <c r="B283" i="9"/>
  <c r="B539" i="9"/>
  <c r="B513" i="9"/>
  <c r="B538" i="9"/>
  <c r="B537" i="9"/>
  <c r="B536" i="9"/>
  <c r="B535" i="9"/>
  <c r="B534" i="9"/>
  <c r="B533" i="9"/>
  <c r="B512" i="9"/>
  <c r="B541" i="9"/>
  <c r="B511" i="9"/>
  <c r="B532" i="9"/>
  <c r="B506" i="9"/>
  <c r="B531" i="9"/>
  <c r="B530" i="9"/>
  <c r="B540" i="9"/>
  <c r="B529" i="9"/>
  <c r="B528" i="9"/>
  <c r="B527" i="9"/>
  <c r="B526" i="9"/>
  <c r="B525" i="9"/>
  <c r="B524" i="9"/>
  <c r="B523" i="9"/>
  <c r="B522" i="9"/>
  <c r="B521" i="9"/>
  <c r="B520" i="9"/>
  <c r="B519" i="9"/>
  <c r="B518" i="9"/>
  <c r="B517" i="9"/>
  <c r="B516" i="9"/>
  <c r="B515" i="9"/>
  <c r="B514" i="9"/>
  <c r="B171" i="9"/>
  <c r="B21" i="9"/>
  <c r="B20" i="9"/>
  <c r="B14" i="9"/>
  <c r="B13" i="9"/>
  <c r="B12" i="9"/>
  <c r="B11" i="9"/>
  <c r="B10" i="9"/>
  <c r="B9" i="9"/>
  <c r="B8" i="9"/>
  <c r="B7" i="9"/>
  <c r="B6" i="9"/>
  <c r="B5" i="9"/>
  <c r="B4" i="9"/>
  <c r="B381" i="9"/>
  <c r="B731" i="9"/>
  <c r="B730" i="9"/>
  <c r="B3" i="9"/>
  <c r="B2" i="9"/>
  <c r="B29" i="9"/>
  <c r="B100" i="9"/>
  <c r="B99" i="9"/>
  <c r="B98" i="9"/>
  <c r="B163" i="9"/>
  <c r="B28" i="9"/>
  <c r="B75" i="9"/>
  <c r="B261" i="9"/>
  <c r="B260" i="9"/>
  <c r="B259" i="9"/>
  <c r="B364" i="9"/>
  <c r="B363" i="9"/>
  <c r="B773" i="9"/>
  <c r="B772" i="9"/>
  <c r="B771" i="9"/>
  <c r="B770" i="9"/>
  <c r="B769" i="9"/>
  <c r="B121" i="9"/>
  <c r="B729" i="9"/>
  <c r="B641" i="9"/>
  <c r="B640" i="9"/>
  <c r="B639" i="9"/>
  <c r="B638" i="9"/>
  <c r="B136" i="9"/>
  <c r="B162" i="9"/>
  <c r="B135" i="9"/>
  <c r="B722" i="9"/>
  <c r="B131" i="9"/>
  <c r="B549" i="9"/>
  <c r="B551" i="9"/>
  <c r="B550" i="9"/>
</calcChain>
</file>

<file path=xl/sharedStrings.xml><?xml version="1.0" encoding="utf-8"?>
<sst xmlns="http://schemas.openxmlformats.org/spreadsheetml/2006/main" count="12202" uniqueCount="4325">
  <si>
    <t>MESIAS</t>
  </si>
  <si>
    <t>ADRIANA JANETH</t>
  </si>
  <si>
    <t>SECRETARIA</t>
  </si>
  <si>
    <t>DESPACHO DEL GOBERNADOR</t>
  </si>
  <si>
    <t>MUÑOZ</t>
  </si>
  <si>
    <t>AMANDA ELVIRA</t>
  </si>
  <si>
    <t>PROFESIONAL UNIVERSITARIO</t>
  </si>
  <si>
    <t>CRISTHIAN</t>
  </si>
  <si>
    <t>SUBSECRETARIO</t>
  </si>
  <si>
    <t>PRESUPUESTO</t>
  </si>
  <si>
    <t>SECRETARIA DE EDUCACION</t>
  </si>
  <si>
    <t>SECRETARIA ADMINISTRATIVA CARRERA</t>
  </si>
  <si>
    <t>SECRETARIA DE EQUIDAD DE GÉNERO E INCLUSIÓN SOCIAL</t>
  </si>
  <si>
    <t>MENSAJERO ADMINISTRATIVO CARRERA GD 01</t>
  </si>
  <si>
    <t>JAIME ANDRES</t>
  </si>
  <si>
    <t>SECRETARIA DE AGRICULTURA Y DESARROLLO RURAL</t>
  </si>
  <si>
    <t>SILVIA FRANY</t>
  </si>
  <si>
    <t>SECRETARIA DE HACIENDA</t>
  </si>
  <si>
    <t>CARATAR</t>
  </si>
  <si>
    <t>LORENA DEL ROCIO</t>
  </si>
  <si>
    <t>ALEJANDRA IVONNE</t>
  </si>
  <si>
    <t>ANGULO</t>
  </si>
  <si>
    <t>JUAN CARLOS</t>
  </si>
  <si>
    <t>AUXILIAR ADMINISTRATIVO</t>
  </si>
  <si>
    <t>SECRETARIA DE GOBIERNO</t>
  </si>
  <si>
    <t>BENAVIDES</t>
  </si>
  <si>
    <t>BASTIDAS</t>
  </si>
  <si>
    <t>NUBIA DEL SOCORRO</t>
  </si>
  <si>
    <t>PROFESIONAL</t>
  </si>
  <si>
    <t>ANA MARIA</t>
  </si>
  <si>
    <t>SANDRA MARGARITA</t>
  </si>
  <si>
    <t>PANTOJA</t>
  </si>
  <si>
    <t>LEITON</t>
  </si>
  <si>
    <t>ROSERO</t>
  </si>
  <si>
    <t>MARIO FERNANDO</t>
  </si>
  <si>
    <t>ASESOR</t>
  </si>
  <si>
    <t>NARVAEZ</t>
  </si>
  <si>
    <t>EDWIN MAURICIO</t>
  </si>
  <si>
    <t>BURBANO</t>
  </si>
  <si>
    <t>OLGA LIGIA</t>
  </si>
  <si>
    <t>ELDER OVIDIO</t>
  </si>
  <si>
    <t>MARIA EUGENIA</t>
  </si>
  <si>
    <t>SECRETARIA DE PLANEACION</t>
  </si>
  <si>
    <t>JAMILTON ARVEY</t>
  </si>
  <si>
    <t>OFICINA JURIDICA</t>
  </si>
  <si>
    <t>JORGE RODRIGO</t>
  </si>
  <si>
    <t>SECRETARIA DE INFRAESTRUCTURA Y MINAS</t>
  </si>
  <si>
    <t>LUZ DARY</t>
  </si>
  <si>
    <t>MAURICIO</t>
  </si>
  <si>
    <t>SONIA MIREYA</t>
  </si>
  <si>
    <t>SECRETARIA EJECUTIVA ADMIN. CARRERA GD 04</t>
  </si>
  <si>
    <t>ADRIANA DE JESUS</t>
  </si>
  <si>
    <t>IRMA MIROSLAVA</t>
  </si>
  <si>
    <t>JAIRO HERNAN</t>
  </si>
  <si>
    <t>SECRETARIO</t>
  </si>
  <si>
    <t>CARLOS FERNANDO</t>
  </si>
  <si>
    <t>SECRETARIA DE AMBIENTE Y DESARROLLO SOSTENIBLE</t>
  </si>
  <si>
    <t>ALVARO FABIAN</t>
  </si>
  <si>
    <t>LUCY MAGALI</t>
  </si>
  <si>
    <t>SECRETARIA DE RECREACIÓN Y DEPORTE</t>
  </si>
  <si>
    <t>SOLARTE</t>
  </si>
  <si>
    <t>ERIKA PATRICIA</t>
  </si>
  <si>
    <t>YAMILE LORENA</t>
  </si>
  <si>
    <t>TRANSITO</t>
  </si>
  <si>
    <t>LUIS EDUARDO</t>
  </si>
  <si>
    <t>OSCAR ANDRES</t>
  </si>
  <si>
    <t>ZAMBRANO</t>
  </si>
  <si>
    <t>SANDRA ELIZABET</t>
  </si>
  <si>
    <t>ANA JULIA</t>
  </si>
  <si>
    <t>DORA INES</t>
  </si>
  <si>
    <t>ALVARO FRANCISCO</t>
  </si>
  <si>
    <t>FRANCISCO JAVIER</t>
  </si>
  <si>
    <t>MARIA NELLY</t>
  </si>
  <si>
    <t>JAIRO ARLEY</t>
  </si>
  <si>
    <t>DARIO ALEXANDER</t>
  </si>
  <si>
    <t>CARLOS GABRIEL</t>
  </si>
  <si>
    <t>CARLOS EMILIO</t>
  </si>
  <si>
    <t>JOSE ORLANDO</t>
  </si>
  <si>
    <t>DEPARTAMENTO ADMINISTRATIVO CONTRATACION</t>
  </si>
  <si>
    <t>CORAL</t>
  </si>
  <si>
    <t>JAVIER DARIO</t>
  </si>
  <si>
    <t>PROFESIONAL ESPECIALIZADO</t>
  </si>
  <si>
    <t>JAIRO MAURICIO</t>
  </si>
  <si>
    <t>ROBERT HERNAN</t>
  </si>
  <si>
    <t>MARIA FERNANDA</t>
  </si>
  <si>
    <t>JAMES ALBERTO</t>
  </si>
  <si>
    <t>MERCEDES</t>
  </si>
  <si>
    <t>OFICINA DE CONTROL INTERNO DISCIPLINARIO</t>
  </si>
  <si>
    <t>ASTRID LORENA</t>
  </si>
  <si>
    <t>LUIS CARLOS</t>
  </si>
  <si>
    <t>ANNIE ELIZABETH</t>
  </si>
  <si>
    <t>MARIO ERNESTO</t>
  </si>
  <si>
    <t>ERASO</t>
  </si>
  <si>
    <t>LUIS FERNANDO</t>
  </si>
  <si>
    <t>GOMEZ</t>
  </si>
  <si>
    <t>FABIO FRANCISCO</t>
  </si>
  <si>
    <t>JOHN FRANKLIN</t>
  </si>
  <si>
    <t>ADRIANA CECILIA</t>
  </si>
  <si>
    <t>SANDRA LUCIA</t>
  </si>
  <si>
    <t>LEONEL GERMAN</t>
  </si>
  <si>
    <t>DIEGO MARIA</t>
  </si>
  <si>
    <t>MARIA MONICA</t>
  </si>
  <si>
    <t>JEFE OFICINA JURIDICA</t>
  </si>
  <si>
    <t>ELISA DEL CARMEN</t>
  </si>
  <si>
    <t>DAVID MAURICIO</t>
  </si>
  <si>
    <t>MARIA LUISA</t>
  </si>
  <si>
    <t>JUAN CAMILO</t>
  </si>
  <si>
    <t>EMMA INES</t>
  </si>
  <si>
    <t>LUCIA DEL ROSARIO</t>
  </si>
  <si>
    <t>CARLOS DANILO</t>
  </si>
  <si>
    <t>ALEXANDRA</t>
  </si>
  <si>
    <t>OSCAR MAURICIO</t>
  </si>
  <si>
    <t>ANDREA CAROLINA</t>
  </si>
  <si>
    <t>LASSO</t>
  </si>
  <si>
    <t>SONIA YOLANDA</t>
  </si>
  <si>
    <t>JUAN PABLO</t>
  </si>
  <si>
    <t>DEISY DEL CARMEN</t>
  </si>
  <si>
    <t>EDUARDO ALIRIO</t>
  </si>
  <si>
    <t>EULER ALDEMAR</t>
  </si>
  <si>
    <t>JAVIER ARTURO</t>
  </si>
  <si>
    <t>GLORIA LEONOR</t>
  </si>
  <si>
    <t>SANDRA JANETH</t>
  </si>
  <si>
    <t>EDGAR</t>
  </si>
  <si>
    <t>CECILIA</t>
  </si>
  <si>
    <t>DAVID EDUARDO</t>
  </si>
  <si>
    <t>FLOR ALBA</t>
  </si>
  <si>
    <t>AIDE MERCEDES</t>
  </si>
  <si>
    <t>ARNULFO</t>
  </si>
  <si>
    <t>GIOVANNA CATHERINE</t>
  </si>
  <si>
    <t>MARIA CRISTINA</t>
  </si>
  <si>
    <t>JEFE OFICINA CONTROL INTERNO</t>
  </si>
  <si>
    <t>MORALES</t>
  </si>
  <si>
    <t>AYDA MARGARITA</t>
  </si>
  <si>
    <t>ZAIDA YOHANA</t>
  </si>
  <si>
    <t>SERGIO ANTONIO</t>
  </si>
  <si>
    <t>RICARDO RAUL</t>
  </si>
  <si>
    <t>ALEX MAURICIO</t>
  </si>
  <si>
    <t>NELSON ORLANDO</t>
  </si>
  <si>
    <t>EMILSEN LISBETH</t>
  </si>
  <si>
    <t>CIELO AMANDA</t>
  </si>
  <si>
    <t>JOSE OMAR</t>
  </si>
  <si>
    <t>HECTOR ALBERTO</t>
  </si>
  <si>
    <t>TECNICO OPERATIVO PRIMA 06</t>
  </si>
  <si>
    <t>JOSE LUIS</t>
  </si>
  <si>
    <t>AUXILIAR ADMINISTRATIVO GD 03</t>
  </si>
  <si>
    <t>ADRIANA CRISTINA</t>
  </si>
  <si>
    <t>CARMEN ELISA</t>
  </si>
  <si>
    <t>FERNANDO</t>
  </si>
  <si>
    <t>LILIANA DEL PILAR</t>
  </si>
  <si>
    <t>NIXON</t>
  </si>
  <si>
    <t>RAUL ALEJANDRO</t>
  </si>
  <si>
    <t>JUAN BAUTISTA</t>
  </si>
  <si>
    <t>DIEGO NIXON</t>
  </si>
  <si>
    <t>NELCY ROCIO</t>
  </si>
  <si>
    <t>ADMINISTRATIVO DESPACHO GD 03</t>
  </si>
  <si>
    <t>JULIAN ANDRES</t>
  </si>
  <si>
    <t>JORGE ARTURO</t>
  </si>
  <si>
    <t>JOSE AMILCAR</t>
  </si>
  <si>
    <t>CARMEN ALICIA</t>
  </si>
  <si>
    <t>CESAR AUGUSTO</t>
  </si>
  <si>
    <t>LUIS IGNACIO</t>
  </si>
  <si>
    <t>ESPERANZA DEL ROSARIO</t>
  </si>
  <si>
    <t>MAURA LETICIA</t>
  </si>
  <si>
    <t>SILVIO ANTONIO</t>
  </si>
  <si>
    <t>DARWIN ALEXANDER</t>
  </si>
  <si>
    <t>MILTON AUDENAR</t>
  </si>
  <si>
    <t>DIRECCION ADMINISTRATIVA DE CULTURA</t>
  </si>
  <si>
    <t>EDIE EZEQUIEL</t>
  </si>
  <si>
    <t>JOHN HAROLD</t>
  </si>
  <si>
    <t>GERARDO OLMEDO</t>
  </si>
  <si>
    <t>MARIA ANGELA</t>
  </si>
  <si>
    <t>ZONIA ALEXANDRA</t>
  </si>
  <si>
    <t>CARLOS WILSON</t>
  </si>
  <si>
    <t>BRENDA ELIZABETH</t>
  </si>
  <si>
    <t>LILIANA FERNANDA</t>
  </si>
  <si>
    <t>GLADYS ALICIA</t>
  </si>
  <si>
    <t>JHON ALEXANDER</t>
  </si>
  <si>
    <t>GOBERNADOR</t>
  </si>
  <si>
    <t>ROSAS</t>
  </si>
  <si>
    <t>TYRONE</t>
  </si>
  <si>
    <t>ENNA ALBA LUCY</t>
  </si>
  <si>
    <t>MARGARITA MAYELI</t>
  </si>
  <si>
    <t>WILFREDO</t>
  </si>
  <si>
    <t>JULIO CESAR</t>
  </si>
  <si>
    <t>MERCEDES DEL CARMEN</t>
  </si>
  <si>
    <t>SANTACRUZ</t>
  </si>
  <si>
    <t>JOSE FELIX</t>
  </si>
  <si>
    <t>ARACELI DEL PILAR</t>
  </si>
  <si>
    <t>VIVIANA MILENA</t>
  </si>
  <si>
    <t>STELLA</t>
  </si>
  <si>
    <t>ESTELA DEL CARMEN</t>
  </si>
  <si>
    <t>JORGE ENRIQUE</t>
  </si>
  <si>
    <t>DIRECCION ADMINISTRATIVA DE GESTION DEL RIESGO</t>
  </si>
  <si>
    <t>FREDY ERNESTO</t>
  </si>
  <si>
    <t>MARIO ALBERTO</t>
  </si>
  <si>
    <t>ALVARO MARINO</t>
  </si>
  <si>
    <t>LILIA</t>
  </si>
  <si>
    <t>ALMACENISTA GENERAL</t>
  </si>
  <si>
    <t>ANA CRISTINA</t>
  </si>
  <si>
    <t>VICTOR HUGO</t>
  </si>
  <si>
    <t>CARLOS GONZALO</t>
  </si>
  <si>
    <t>VILLOTA</t>
  </si>
  <si>
    <t>ADRIANA DEL CARMEN</t>
  </si>
  <si>
    <t>NUBIA PATRICIA</t>
  </si>
  <si>
    <t>DIANA ALEXANDRA</t>
  </si>
  <si>
    <t>CAROLINA</t>
  </si>
  <si>
    <t>CONTRATACION</t>
  </si>
  <si>
    <t>First Name [Required]</t>
  </si>
  <si>
    <t>Last Name [Required]</t>
  </si>
  <si>
    <t>Email Address [Required]</t>
  </si>
  <si>
    <t>Status [READ ONLY]</t>
  </si>
  <si>
    <t>Employee ID</t>
  </si>
  <si>
    <t>Employee Type</t>
  </si>
  <si>
    <t>Employee Title</t>
  </si>
  <si>
    <t>Department</t>
  </si>
  <si>
    <t>Floor Section</t>
  </si>
  <si>
    <t>ACUERDOS DE RAIZ -</t>
  </si>
  <si>
    <t>acuerdosderaiz@narino.gov.co</t>
  </si>
  <si>
    <t>Suspended</t>
  </si>
  <si>
    <t>DEPENDENCIA</t>
  </si>
  <si>
    <t>ADRIANA</t>
  </si>
  <si>
    <t>PORTILLA HURTADO</t>
  </si>
  <si>
    <t>adrianaportillahurtado@narino.gov.co</t>
  </si>
  <si>
    <t>Active</t>
  </si>
  <si>
    <t>CARRERA ADMINISTRATIVA</t>
  </si>
  <si>
    <t>PROFESIONAL UNIVERSITARIA</t>
  </si>
  <si>
    <t>FAJARDO GUEVARA</t>
  </si>
  <si>
    <t>adrianafajardo@narino.gov.co</t>
  </si>
  <si>
    <t>PROVISIONAL</t>
  </si>
  <si>
    <t>SUBSECRETARIA ADMINISTRATIVA - ARCHIVO GENERAL</t>
  </si>
  <si>
    <t>OJEDA JAULIN</t>
  </si>
  <si>
    <t>adrianaojeda@narino.gov.co</t>
  </si>
  <si>
    <t>ENCARGADO CARRERA ADMINISTRATIVA</t>
  </si>
  <si>
    <t>SUBSECRETARIA DE INFRAESTRUCTURA Y VIAS</t>
  </si>
  <si>
    <t>CABRERA NARVAEZ</t>
  </si>
  <si>
    <t>adrianacabrera@narino.gov.co</t>
  </si>
  <si>
    <t>SECRETARIA DE HACIENDA - TESORERIA</t>
  </si>
  <si>
    <t>TESORERIA</t>
  </si>
  <si>
    <t>VILLOTA GONZALEZ</t>
  </si>
  <si>
    <t>adrianavillota@narino.gov.co</t>
  </si>
  <si>
    <t>SUBSECRETARIA DE RENTAS</t>
  </si>
  <si>
    <t>ACHICANOY MESIAS</t>
  </si>
  <si>
    <t>adrianaachicanoy@narino.gov.co</t>
  </si>
  <si>
    <t>LIBRE NOMBRAMIENTO</t>
  </si>
  <si>
    <t>ADULTO MAYOR - SECRETARIA DE EQUIDAD DE</t>
  </si>
  <si>
    <t>GENERO E INCLUSION SOCIAL</t>
  </si>
  <si>
    <t>adultomayorsegis@narino.gov.co</t>
  </si>
  <si>
    <t>SECRETARIA DE EQUIDAD DE GENERO E INCLUSION SOCIAL</t>
  </si>
  <si>
    <t>AGRICULTURA</t>
  </si>
  <si>
    <t>GOBERNACION NARIÑO</t>
  </si>
  <si>
    <t>agricultura@narino.gov.co</t>
  </si>
  <si>
    <t>aydamorales@narino.gov.co</t>
  </si>
  <si>
    <t>AGUARDIENTE</t>
  </si>
  <si>
    <t>NARIÑO</t>
  </si>
  <si>
    <t>aguardiente@narino.gov.co</t>
  </si>
  <si>
    <t>SUBSECRETARIA DE RENTAS - AGUARDIENTE NARIÑO</t>
  </si>
  <si>
    <t>AIDA ROSA</t>
  </si>
  <si>
    <t>GIRALDO GUERRERO</t>
  </si>
  <si>
    <t>aidagiraldo@narino.gov.co</t>
  </si>
  <si>
    <t>CONTRATO</t>
  </si>
  <si>
    <t>CONTRATISTA</t>
  </si>
  <si>
    <t>MESIAS SALAS</t>
  </si>
  <si>
    <t>aydeemesias@narino.gov.co</t>
  </si>
  <si>
    <t>SUBSECRETARIA DE GESTION PUBLICA</t>
  </si>
  <si>
    <t>ALDEMAR</t>
  </si>
  <si>
    <t>YAQUENO RODRIGUEZ</t>
  </si>
  <si>
    <t>aldemaryaquenor@narino.gov.co</t>
  </si>
  <si>
    <t>ALEJANDRA</t>
  </si>
  <si>
    <t>SALAZAR MORALES</t>
  </si>
  <si>
    <t>alejandrasalazar@narino.gov.co</t>
  </si>
  <si>
    <t>SUBSECRETARIA DE DESARROLLO COMUNITARIO</t>
  </si>
  <si>
    <t>AGREDA DELGADO</t>
  </si>
  <si>
    <t>alejandraagreda@narino.gov.co</t>
  </si>
  <si>
    <t>ANDRADE ROJAS</t>
  </si>
  <si>
    <t>alejandraandrade@narino.gov.co</t>
  </si>
  <si>
    <t>ALEJANDRO</t>
  </si>
  <si>
    <t>ERAZO PAZ</t>
  </si>
  <si>
    <t>alejandroerazo@narino.gov.co</t>
  </si>
  <si>
    <t>ALEJANDRO ARTURO</t>
  </si>
  <si>
    <t>SALAZAR PEREZ</t>
  </si>
  <si>
    <t>alejandrosalazar@narino.gov.co</t>
  </si>
  <si>
    <t>OFICINA DE CONTROL INTERNO DE GESTION</t>
  </si>
  <si>
    <t>NARVAEZ BURBANO</t>
  </si>
  <si>
    <t>alexnarvaez@narino.gov.co</t>
  </si>
  <si>
    <t>HOLGUIN PRIETO</t>
  </si>
  <si>
    <t>alexandraholguin@narino.gov.co</t>
  </si>
  <si>
    <t>ALICIA VERONICA</t>
  </si>
  <si>
    <t>PAZOS PORTILLO</t>
  </si>
  <si>
    <t>veronicapazos@narino.gov.co</t>
  </si>
  <si>
    <t>DIRECCION ADMINISTRATIVA DE GESTION DE RIESGO DE DESASTRE</t>
  </si>
  <si>
    <t>ALVARO</t>
  </si>
  <si>
    <t>MONTEZUMA SANCHEZ</t>
  </si>
  <si>
    <t>alvaromontezuma@narino.gov.co</t>
  </si>
  <si>
    <t>VALLEJO OBANDO</t>
  </si>
  <si>
    <t>alvarofidelvallejo@narino.gov.co</t>
  </si>
  <si>
    <t>SUBSECRETARIA DE ASISTENCIA TECNICA</t>
  </si>
  <si>
    <t>CAICEDO RAMOS</t>
  </si>
  <si>
    <t>alvarocaicedo@narino.gov.co</t>
  </si>
  <si>
    <t>CERON FIGUEROA</t>
  </si>
  <si>
    <t>franciscoceron@narino.gov.co</t>
  </si>
  <si>
    <t>VALLEJO CHAMPUTIS</t>
  </si>
  <si>
    <t>alvarovallejo@narino.gov.co</t>
  </si>
  <si>
    <t>ACOSTA MUNOZ</t>
  </si>
  <si>
    <t>amandacosta@narino.gov.co</t>
  </si>
  <si>
    <t>SUBSECRETARIA DE TALENTO HUMANO</t>
  </si>
  <si>
    <t>AMBIENTE Y DESARROLLO</t>
  </si>
  <si>
    <t>SOSTENIBLE</t>
  </si>
  <si>
    <t>ambienteydesarrollo@narino.gov.co</t>
  </si>
  <si>
    <t>SECRETARIA DE AMBIENTE Y DESARROLLO SOTENIBLE</t>
  </si>
  <si>
    <t>AMPARO</t>
  </si>
  <si>
    <t>TIMANA ORTIZ</t>
  </si>
  <si>
    <t>amparotimana@narino.gov.co</t>
  </si>
  <si>
    <t>DESPACHO DEL GOBERNADOR - COMUNICACIONES</t>
  </si>
  <si>
    <t>ANA AURELIA</t>
  </si>
  <si>
    <t>CASTRO CAICEDO</t>
  </si>
  <si>
    <t>anacastro@narino.gov.co</t>
  </si>
  <si>
    <t>VELA PERDOMO</t>
  </si>
  <si>
    <t>anavela@narino.gov.co</t>
  </si>
  <si>
    <t>CARDENAS BRAVO</t>
  </si>
  <si>
    <t>anacardenas@narino.gov.co</t>
  </si>
  <si>
    <t>SECRETARIA TIC, INNOVACION Y GOBIERNO ABIERTO</t>
  </si>
  <si>
    <t>ERASO CASTILLO</t>
  </si>
  <si>
    <t>anaeraso@narino.gov.co</t>
  </si>
  <si>
    <t>SUBSECRETARIA DE RENTAS - IMPUESTO VEHICULAR</t>
  </si>
  <si>
    <t>BASTIDAS RODRIGUEZ</t>
  </si>
  <si>
    <t>anabastidas@narino.gov.co</t>
  </si>
  <si>
    <t>GONZALEZ BERNAL</t>
  </si>
  <si>
    <t>anamariagonzalez@narino.gov.co</t>
  </si>
  <si>
    <t>ANA MILENA</t>
  </si>
  <si>
    <t>BETANCOURTH UBAQUE</t>
  </si>
  <si>
    <t>milenabetancourth@narino.gov.co</t>
  </si>
  <si>
    <t>SECRETARIA DE PLANEACION - REGALIAS</t>
  </si>
  <si>
    <t>LASSO URBANO</t>
  </si>
  <si>
    <t>anamilenalasso@narino.gov.co</t>
  </si>
  <si>
    <t>59.312.405</t>
  </si>
  <si>
    <t>SUBSECRETARIA DE TALENTO HUMANO - CUOTAS PARTES</t>
  </si>
  <si>
    <t>ANA SOFIA</t>
  </si>
  <si>
    <t>LOPEZ MEJIA</t>
  </si>
  <si>
    <t>analopez@narino.gov.co</t>
  </si>
  <si>
    <t>SUBSECRETARIA DE INNOVACION</t>
  </si>
  <si>
    <t>ANABELI</t>
  </si>
  <si>
    <t>OBANDO ARTEAGA</t>
  </si>
  <si>
    <t>anabeliobando@narino.gov.co</t>
  </si>
  <si>
    <t>ANDREA</t>
  </si>
  <si>
    <t>ARTURO GONZALEZ</t>
  </si>
  <si>
    <t>andreaarturo@narino.gov.co</t>
  </si>
  <si>
    <t>GUERRERO ROSERO</t>
  </si>
  <si>
    <t>andreaguerrero@narino.gov.co</t>
  </si>
  <si>
    <t>UNIDAD ADMINISTRTATIVA ESPECIAL PARA LA VIA JUNIN BARBACOAS</t>
  </si>
  <si>
    <t>JIMENEZ BERMUDEZ</t>
  </si>
  <si>
    <t>andreajimenez@narino.gov.co</t>
  </si>
  <si>
    <t>ANDREA DEYANIRA</t>
  </si>
  <si>
    <t>CORTEZ JOJOA</t>
  </si>
  <si>
    <t>andreacortez@narino.gov.co</t>
  </si>
  <si>
    <t>ANDREA LORENA</t>
  </si>
  <si>
    <t>BASTIDAS BENAVIDES</t>
  </si>
  <si>
    <t>andreabastidas@narino.gov.co</t>
  </si>
  <si>
    <t>SECRETARIA DE HACIENDA - CONTABILIDAD</t>
  </si>
  <si>
    <t>ANDRES</t>
  </si>
  <si>
    <t>SALAS MENA</t>
  </si>
  <si>
    <t>andressalas@narino.gov.co</t>
  </si>
  <si>
    <t>SECRETARIA DE EDUCACION - ADMINISTRATIVA Y FINANCIERA</t>
  </si>
  <si>
    <t>ANDRES BOLIVAR</t>
  </si>
  <si>
    <t>SERRANO VILLOTA</t>
  </si>
  <si>
    <t>andresserrano@narino.gov.co</t>
  </si>
  <si>
    <t>DEPARTAMENTO ADMINISTRATIVO DE CONTRATACION</t>
  </si>
  <si>
    <t>ANDRES FELIPE</t>
  </si>
  <si>
    <t>ANDRADE OJEDA</t>
  </si>
  <si>
    <t>andresandrade@narino.gov.co</t>
  </si>
  <si>
    <t>ANDRES FERNANDO</t>
  </si>
  <si>
    <t>andreszambrano@narino.gov.co</t>
  </si>
  <si>
    <t>ANDRES MARINO</t>
  </si>
  <si>
    <t>ORDOÑEZ</t>
  </si>
  <si>
    <t>andresordonez@narino.gov.co</t>
  </si>
  <si>
    <t>ANDRES MAURICIO</t>
  </si>
  <si>
    <t>PIANDOY ARMERO</t>
  </si>
  <si>
    <t>andrespiandoy@narino.gov.co</t>
  </si>
  <si>
    <t>SUBSECRETARIA DE PRESUPUESTO</t>
  </si>
  <si>
    <t>ANGELA CRISTINA</t>
  </si>
  <si>
    <t>GONZALEZ VALENCIA</t>
  </si>
  <si>
    <t>angelagonzalez@narino.gov.co</t>
  </si>
  <si>
    <t>ANGELA LIZETH</t>
  </si>
  <si>
    <t>MUÑOZ OBONAGA</t>
  </si>
  <si>
    <t>angelamunoz@narino.gov.co</t>
  </si>
  <si>
    <t>ANGELA MARCELA</t>
  </si>
  <si>
    <t>RUEDA</t>
  </si>
  <si>
    <t>angelarueda@narino.gov.co</t>
  </si>
  <si>
    <t>ANGELA MARIA</t>
  </si>
  <si>
    <t>YELA ESCOBAR</t>
  </si>
  <si>
    <t>angelayela@narino.gov.co</t>
  </si>
  <si>
    <t>NAVARRETE JURADO</t>
  </si>
  <si>
    <t>angelanavarrete@narino.gov.co</t>
  </si>
  <si>
    <t>ANGELA SOFIA</t>
  </si>
  <si>
    <t>SOLIS GARCIA</t>
  </si>
  <si>
    <t>angelasolis@narino.gov.co</t>
  </si>
  <si>
    <t>ANGIE CAROLINA</t>
  </si>
  <si>
    <t>carolinasalas@narino.gov.co</t>
  </si>
  <si>
    <t>DIRECCION ADMINISTRATIVA DE CONTRATACION</t>
  </si>
  <si>
    <t>ANNA DILIA</t>
  </si>
  <si>
    <t>ONOFRE ORTIZ</t>
  </si>
  <si>
    <t>anaonofre@narino.gov.co</t>
  </si>
  <si>
    <t>ANNA SOFIA</t>
  </si>
  <si>
    <t>PANTOJA RAMIREZ</t>
  </si>
  <si>
    <t>annapantoja@narino.gov.co</t>
  </si>
  <si>
    <t>DIAZ PANTOJA</t>
  </si>
  <si>
    <t>anniediaz@narino.gov.co</t>
  </si>
  <si>
    <t>SANTACRUZ PAZ</t>
  </si>
  <si>
    <t>aracelisantacruz@narino.gov.co</t>
  </si>
  <si>
    <t>CONTABILIDAD</t>
  </si>
  <si>
    <t>ARCHIVO</t>
  </si>
  <si>
    <t>SUBSECRETARIA DE TRANSITO Y TRANSPORTE</t>
  </si>
  <si>
    <t>archivotransito@narino.gov.co</t>
  </si>
  <si>
    <t>GENERAL</t>
  </si>
  <si>
    <t>archivo@narino.gov.co</t>
  </si>
  <si>
    <t>MINA GARCES</t>
  </si>
  <si>
    <t>arnulfomina@narino.gov.co</t>
  </si>
  <si>
    <t>ARTURO JORGE</t>
  </si>
  <si>
    <t>arturomesias@narino.gov.co</t>
  </si>
  <si>
    <t>ASEGURAMIENTO -</t>
  </si>
  <si>
    <t>PDA</t>
  </si>
  <si>
    <t>pdaaseguramiento@narino.gov.co</t>
  </si>
  <si>
    <t>SUBSECRETARIA DE ECONOMIA REGIONAL Y AGUA POTABLE - PDA</t>
  </si>
  <si>
    <t>ASOBANCARIA - GOBERNACIÓN DE</t>
  </si>
  <si>
    <t>asobancarias@narino.gov.co</t>
  </si>
  <si>
    <t>DELGADO CORAL</t>
  </si>
  <si>
    <t>astridlorenadelgado@narino.gov.co</t>
  </si>
  <si>
    <t>ATENCION AL</t>
  </si>
  <si>
    <t>CIUDADANO</t>
  </si>
  <si>
    <t>atencionalciudadano@narino.gov.co</t>
  </si>
  <si>
    <t>SECRETARIA GENERAL</t>
  </si>
  <si>
    <t>ATENCION AL USUARIO</t>
  </si>
  <si>
    <t>atencionalusuariopda@narino.gov.co</t>
  </si>
  <si>
    <t>SUBSECRETARIA DE ECONOMIA REGIONAL Y AGUA POTABLE</t>
  </si>
  <si>
    <t>AURA</t>
  </si>
  <si>
    <t>CAICEDO LUNA</t>
  </si>
  <si>
    <t>auracaicedo@narino.gov.co</t>
  </si>
  <si>
    <t>AURA MARIA</t>
  </si>
  <si>
    <t>HINESTROSA DIAZ DEL CASTILLO</t>
  </si>
  <si>
    <t>aurahinestrosa@narino.gov.co</t>
  </si>
  <si>
    <t>AYDA TERESA</t>
  </si>
  <si>
    <t>LARA SAMUDIO</t>
  </si>
  <si>
    <t>aydalara@narino.gov.co</t>
  </si>
  <si>
    <t>SUBSECRETARIA DE GESTION AMBIENTAL Y CRECIMIENTO VERDE</t>
  </si>
  <si>
    <t>BANCO DE PROYECTOS</t>
  </si>
  <si>
    <t>GOBERNACION DE NARIÑO</t>
  </si>
  <si>
    <t>bancodeproyectos@narino.gov.co</t>
  </si>
  <si>
    <t>BANDADEPARTAMENTAL</t>
  </si>
  <si>
    <t>GOBERNACIÓN NARIÑO</t>
  </si>
  <si>
    <t>bandadepartamental@narino.gov.co</t>
  </si>
  <si>
    <t>BETHSY LYSETH</t>
  </si>
  <si>
    <t>MAYA JURADO</t>
  </si>
  <si>
    <t>bethsymaya@narino.gov.co</t>
  </si>
  <si>
    <t>TECNICO</t>
  </si>
  <si>
    <t>BIENESTAR ANIMAL -</t>
  </si>
  <si>
    <t>bienestaranimal@narino.gov.co</t>
  </si>
  <si>
    <t>BIENESTAR SOCIAL -</t>
  </si>
  <si>
    <t>SUB TALENTO HUMANO</t>
  </si>
  <si>
    <t>bienestarsocial@narino.gov.co</t>
  </si>
  <si>
    <t>BIODIVERSIDAD Y FAUNA -</t>
  </si>
  <si>
    <t>biodiversidadyfauna@narino.gov.co</t>
  </si>
  <si>
    <t>BLADIMIR ALEXANDER</t>
  </si>
  <si>
    <t>BURBANO URBANO</t>
  </si>
  <si>
    <t>bladimirburbano@narino.gov.co</t>
  </si>
  <si>
    <t>RIVAS MARTINEZ</t>
  </si>
  <si>
    <t>brendarivas@narino.gov.co</t>
  </si>
  <si>
    <t>CALIDAD EDUCATIVA</t>
  </si>
  <si>
    <t>SED</t>
  </si>
  <si>
    <t>calidadeducativased@narino.gov.co</t>
  </si>
  <si>
    <t>CAMBIO CLIMATICO -</t>
  </si>
  <si>
    <t>cambioclimatico@narino.gov.co</t>
  </si>
  <si>
    <t>CAMILO</t>
  </si>
  <si>
    <t>ROMERO GALEANO</t>
  </si>
  <si>
    <t>camiloromero@narino.gov.co</t>
  </si>
  <si>
    <t>ELECCION POPULAR</t>
  </si>
  <si>
    <t>VILLOTA IBARRA</t>
  </si>
  <si>
    <t>camilovillota@narino.gov.co</t>
  </si>
  <si>
    <t>CAMILO ALEXANDER</t>
  </si>
  <si>
    <t>camilonarvaez@narino.gov.co</t>
  </si>
  <si>
    <t>CAMILO FERNANDO</t>
  </si>
  <si>
    <t>DELGADO CAICEDO</t>
  </si>
  <si>
    <t>camilodelgado@narino.gov.co</t>
  </si>
  <si>
    <t>CAPACITACIONES</t>
  </si>
  <si>
    <t>GOOGLE</t>
  </si>
  <si>
    <t>capacitaciones@narino.gov.co</t>
  </si>
  <si>
    <t>ADMIN</t>
  </si>
  <si>
    <t>CARLOS</t>
  </si>
  <si>
    <t>MELO RODRIGUEZ</t>
  </si>
  <si>
    <t>carlosmelo@narino.gov.co</t>
  </si>
  <si>
    <t>SUBSECRETARIO DE TALENTO HUMANO</t>
  </si>
  <si>
    <t>CARLOS ALBERTO</t>
  </si>
  <si>
    <t>PAZ MORENO</t>
  </si>
  <si>
    <t>carlospaz@narino.gov.co</t>
  </si>
  <si>
    <t>CARLOS ANDRES</t>
  </si>
  <si>
    <t>ARTEAGA LOPEZ</t>
  </si>
  <si>
    <t>andresarteaga@narino.gov.co</t>
  </si>
  <si>
    <t>RUALES ALVEAR</t>
  </si>
  <si>
    <t>carlosruales@narino.gov.co</t>
  </si>
  <si>
    <t>CARLOS DANIEL</t>
  </si>
  <si>
    <t>carlosbastidas@narino.gov.co</t>
  </si>
  <si>
    <t>HERNANDEZ FOLLECO</t>
  </si>
  <si>
    <t>danilohernandez@narino.gov.co</t>
  </si>
  <si>
    <t>CARLOS EDUARDO</t>
  </si>
  <si>
    <t>BRAVO ZAMBRANO</t>
  </si>
  <si>
    <t>carlosbravo@narino.gov.co</t>
  </si>
  <si>
    <t>SECRETARIA DE HACIENDA - RENTAS</t>
  </si>
  <si>
    <t>CHAVES MORA</t>
  </si>
  <si>
    <t>carlosemiliochaves@narino.gov.co</t>
  </si>
  <si>
    <t>CADENA ACOSTA</t>
  </si>
  <si>
    <t>carloscadena@narino.gov.co</t>
  </si>
  <si>
    <t>ROJAS ORTEGA</t>
  </si>
  <si>
    <t>carlosrojas@narino.gov.co</t>
  </si>
  <si>
    <t>CHAVES PAZ</t>
  </si>
  <si>
    <t>carloschaves@narino.gov.co</t>
  </si>
  <si>
    <t>VILLACORTE MORENO</t>
  </si>
  <si>
    <t>carlosvillacorte@narino.gov.co</t>
  </si>
  <si>
    <t>CARLOS HUMBERTO</t>
  </si>
  <si>
    <t>carlosvillota@narino.gov.co</t>
  </si>
  <si>
    <t>RIOBAMBA IPIALES</t>
  </si>
  <si>
    <t>carlosriobamba@narino.gov.co</t>
  </si>
  <si>
    <t>PANTOJA OÑATE</t>
  </si>
  <si>
    <t>carmenpantoja@narino.gov.co</t>
  </si>
  <si>
    <t>OLAYA BATALLA</t>
  </si>
  <si>
    <t>carmenolaya@narino.gov.co</t>
  </si>
  <si>
    <t>CAROL SHIRLEY</t>
  </si>
  <si>
    <t>ALBAN ILLERA</t>
  </si>
  <si>
    <t>carolalban@narino.gov.co</t>
  </si>
  <si>
    <t>SECRETARIA ADMINISTRATIVA</t>
  </si>
  <si>
    <t>ESCANDON CERON</t>
  </si>
  <si>
    <t>carolinaescandon@narino.gov.co</t>
  </si>
  <si>
    <t>ORTIZ PAZ</t>
  </si>
  <si>
    <t>carolinaortiz@narino.gov.co</t>
  </si>
  <si>
    <t>UNIDAD ADMINISTRATIVA ESPECIAL VIA JUNIN - BARBACOAS</t>
  </si>
  <si>
    <t>MONTENEGRO CHAVEZ</t>
  </si>
  <si>
    <t>carolinamontenegro@narino.gov.co</t>
  </si>
  <si>
    <t>SUBSECRETARIA DE PAZ Y DERECHOS HUMANOS</t>
  </si>
  <si>
    <t>DIAZDELCASTILLO GARZON</t>
  </si>
  <si>
    <t>carolinadiazdelcastillo@narino.gov.co</t>
  </si>
  <si>
    <t>CATRIN YULISA</t>
  </si>
  <si>
    <t>BETANCOURT OROBIO</t>
  </si>
  <si>
    <t>yulisabetancourt@narino.gov.co</t>
  </si>
  <si>
    <t>MEJIA PINCHAO</t>
  </si>
  <si>
    <t>ceciliamejia@narino.gov.co</t>
  </si>
  <si>
    <t>TECNICO CARRERA 06</t>
  </si>
  <si>
    <t>CENTRO DE INNOVACION SOCIAL</t>
  </si>
  <si>
    <t>DE NARIÑO</t>
  </si>
  <si>
    <t>cisna@narino.gov.co</t>
  </si>
  <si>
    <t>PAREDES CIFUENTES</t>
  </si>
  <si>
    <t>cesarparedes@narino.gov.co</t>
  </si>
  <si>
    <t>IPUJAN CHAPARPUED</t>
  </si>
  <si>
    <t>cesaripujan@narino.gov.co</t>
  </si>
  <si>
    <t>CHRISTIAN ALEXANDER</t>
  </si>
  <si>
    <t>RAMOS CORAL</t>
  </si>
  <si>
    <t>christianramos@narino.gov.co</t>
  </si>
  <si>
    <t>CHRISTIAN CAMILO</t>
  </si>
  <si>
    <t>CORDOBA MUÑOZ</t>
  </si>
  <si>
    <t>camilocordoba@narino.gov.co</t>
  </si>
  <si>
    <t>NOGUERA SILVA</t>
  </si>
  <si>
    <t>cielonoguera@narino.gov.co</t>
  </si>
  <si>
    <t>CIELO SILVANA</t>
  </si>
  <si>
    <t>ARCOS DIAZ</t>
  </si>
  <si>
    <t>cieloarcos@narino.gov.co</t>
  </si>
  <si>
    <t>CLAUDIA CAROLINA</t>
  </si>
  <si>
    <t>ROJAS BUCHELY</t>
  </si>
  <si>
    <t>carolinarojas@narino.gov.co</t>
  </si>
  <si>
    <t>CLAUDIA PATRICIA</t>
  </si>
  <si>
    <t>RIZO ZAMORA</t>
  </si>
  <si>
    <t>claudiarizo@narino.gov.co</t>
  </si>
  <si>
    <t>CLAUDIO ROMEY</t>
  </si>
  <si>
    <t>PINCHAO CHALACA</t>
  </si>
  <si>
    <t>romeypinchao@narino.gov.co</t>
  </si>
  <si>
    <t>COBRO COACTIVO</t>
  </si>
  <si>
    <t>cobrocoactivotransito@narino.gov.co</t>
  </si>
  <si>
    <t>COBRO COACTIVO -</t>
  </si>
  <si>
    <t>GOBERNACIÓN DE NARIÑO</t>
  </si>
  <si>
    <t>cobrocoactivo@narino.gov.co</t>
  </si>
  <si>
    <t>TESORERIA GENERAL</t>
  </si>
  <si>
    <t>CODECTI</t>
  </si>
  <si>
    <t>codecti@narino.gov.co</t>
  </si>
  <si>
    <t>COMISION REGIONAL DE COMPETITIVIDAD</t>
  </si>
  <si>
    <t>E INNOVACION DE NARIÑO</t>
  </si>
  <si>
    <t>crcinarino@narino.gov.co</t>
  </si>
  <si>
    <t>COMITE DE MINAS -</t>
  </si>
  <si>
    <t>comiteminas@narino.gov.co</t>
  </si>
  <si>
    <t>COMITE DE SUSTITUCION -</t>
  </si>
  <si>
    <t>comitedesustitucion@narino.gov.co</t>
  </si>
  <si>
    <t>COMITE DERECHOS HUMANOS</t>
  </si>
  <si>
    <t>comitederechoshumanos@narino.gov.co</t>
  </si>
  <si>
    <t>erikacaicedo@narino.gov.co</t>
  </si>
  <si>
    <t>COMPARENDOS - SUBSECRETARIA DE TRANSITO</t>
  </si>
  <si>
    <t>Y TRANSPORTE DEPARTAMENTAL</t>
  </si>
  <si>
    <t>comparendos@narino.gov.co</t>
  </si>
  <si>
    <t>COMPONENTE</t>
  </si>
  <si>
    <t>FINANCIERO - PDA</t>
  </si>
  <si>
    <t>componentefinancieropda@narino.gov.co</t>
  </si>
  <si>
    <t>SUBSECRETARIA ECONOMIA REGIONAL Y AGUA POTABLE</t>
  </si>
  <si>
    <t>COMPONENTE ADMINISTRATIVO</t>
  </si>
  <si>
    <t>- PDA</t>
  </si>
  <si>
    <t>pdaadministrativo@narino.gov.co</t>
  </si>
  <si>
    <t>COMPONENTE PLANEACION</t>
  </si>
  <si>
    <t>pdaplaneacion@narino.gov.co</t>
  </si>
  <si>
    <t>COMPONENTE SOCIAL</t>
  </si>
  <si>
    <t>pdasocial@narino.gov.co</t>
  </si>
  <si>
    <t>COMPONENTE TECNICO</t>
  </si>
  <si>
    <t>pdatecnica@narino.gov.co</t>
  </si>
  <si>
    <t>CONEXION</t>
  </si>
  <si>
    <t>TOTAL</t>
  </si>
  <si>
    <t>conexiontotalsed@narino.gov.co</t>
  </si>
  <si>
    <t>monicameneses@narino.gov.co</t>
  </si>
  <si>
    <t>PAGO VIRTUAL</t>
  </si>
  <si>
    <t>contabilidadpagovirtual@narino.gov.co</t>
  </si>
  <si>
    <t>CONTACTENOS</t>
  </si>
  <si>
    <t>contactenos@narino.gov.co</t>
  </si>
  <si>
    <t>contratacion@narino.gov.co</t>
  </si>
  <si>
    <t>DEPARTAMENTO ADMINSITRATIVO DE CONTRATACION</t>
  </si>
  <si>
    <t>CONTRAVENCIONES</t>
  </si>
  <si>
    <t>contravencionestransito@narino.gov.co</t>
  </si>
  <si>
    <t>CONTROL INTERNO</t>
  </si>
  <si>
    <t>DISCIPLINARIO</t>
  </si>
  <si>
    <t>ocid@narino.gov.co</t>
  </si>
  <si>
    <t>javiermartinez@narino.gov.co</t>
  </si>
  <si>
    <t>CONTROL INTERNO DE GESTION -</t>
  </si>
  <si>
    <t>controlgestion@narino.gov.co</t>
  </si>
  <si>
    <t>CONVOCATORIA DE ESTIMULOS -</t>
  </si>
  <si>
    <t>DIRECCION DE CULTURA</t>
  </si>
  <si>
    <t>convocatoriacultura@narino.gov.co</t>
  </si>
  <si>
    <t>direcciondecultura@narino.gov.co</t>
  </si>
  <si>
    <t>COOPERACION INTERNACIONAL</t>
  </si>
  <si>
    <t>cooperacioninternacional@narino.gov.co</t>
  </si>
  <si>
    <t>jackelinecalvachi@narino.gov.co</t>
  </si>
  <si>
    <t>CRECIMIENTO VERDE -</t>
  </si>
  <si>
    <t>crecimientoverde@narino.gov.co</t>
  </si>
  <si>
    <t>AGUILAR RENDON</t>
  </si>
  <si>
    <t>cristhianaguilar@narino.gov.co</t>
  </si>
  <si>
    <t>CRISTIAN ALEXANDER</t>
  </si>
  <si>
    <t>cristianrosero@narino.gov.co</t>
  </si>
  <si>
    <t>CRISTIAN LAURIN</t>
  </si>
  <si>
    <t>VILLOTA ROSERO</t>
  </si>
  <si>
    <t>laurinvillota@narino.gov.co</t>
  </si>
  <si>
    <t>SUBDIRECTOR</t>
  </si>
  <si>
    <t>SUBDIRECCION ADMINISTRATIVA DE CONTRATACION</t>
  </si>
  <si>
    <t>CRISTIAN SANTIAGO</t>
  </si>
  <si>
    <t>IPIAL REINA</t>
  </si>
  <si>
    <t>santiagoipial@narino.gov.co</t>
  </si>
  <si>
    <t>DALIS YADIRA</t>
  </si>
  <si>
    <t>CUASTUZA MONTENEGRO</t>
  </si>
  <si>
    <t>daliscuastuza@narino.gov.co</t>
  </si>
  <si>
    <t>DALLYS DEJANIRE</t>
  </si>
  <si>
    <t>DAJOME ARIZALA</t>
  </si>
  <si>
    <t>dallysdajome@narino.gov.co</t>
  </si>
  <si>
    <t>DANIEL</t>
  </si>
  <si>
    <t>ALVAREZ GARCIA</t>
  </si>
  <si>
    <t>danielalvarez@narino.gov.co</t>
  </si>
  <si>
    <t>danielcoral@narino.gov.co</t>
  </si>
  <si>
    <t>DIRECCIOIN ADMINISTRATIVA DE TURISMO</t>
  </si>
  <si>
    <t>DANIEL HERNANDO</t>
  </si>
  <si>
    <t>BURBANO REALPE</t>
  </si>
  <si>
    <t>danielburbano@narino.gov.co</t>
  </si>
  <si>
    <t>DANIELA ELIZABETH</t>
  </si>
  <si>
    <t>danielagomez@narino.gov.co</t>
  </si>
  <si>
    <t>CHAVES LOPEZ</t>
  </si>
  <si>
    <t>dariochaves@narino.gov.co</t>
  </si>
  <si>
    <t>LIBRFE NOMBRAMIENTO</t>
  </si>
  <si>
    <t>DIRECTOR</t>
  </si>
  <si>
    <t>UNIDAD ESPECIAL PROYECTO JUNIN BARBACOAS</t>
  </si>
  <si>
    <t>DARIO VICENTE</t>
  </si>
  <si>
    <t>GOMEZ MESIAS</t>
  </si>
  <si>
    <t>dariogomez@narino.gov.co</t>
  </si>
  <si>
    <t>DIRECCION ADMINISTRATIVA DE GESTION DE RIESGO</t>
  </si>
  <si>
    <t>PORTILLA LOPEZ</t>
  </si>
  <si>
    <t>darwinportilla@narino.gov.co</t>
  </si>
  <si>
    <t>DAVID</t>
  </si>
  <si>
    <t>TAPIA LOPEZ</t>
  </si>
  <si>
    <t>davidtapia@narino.gov.co</t>
  </si>
  <si>
    <t>DAVID ALEJANDRO</t>
  </si>
  <si>
    <t>MAYA NOGUERA</t>
  </si>
  <si>
    <t>davidmaya@narino.gov.co</t>
  </si>
  <si>
    <t>MENDOZA HURTADO</t>
  </si>
  <si>
    <t>davidmendoza@narino.gov.co</t>
  </si>
  <si>
    <t>DAVID FERNANDO</t>
  </si>
  <si>
    <t>JOJOA CULTID</t>
  </si>
  <si>
    <t>davidjojoa@narino.gov.co</t>
  </si>
  <si>
    <t>GUERRERO REALPE</t>
  </si>
  <si>
    <t>davidmauricioguerrero@narino.gov.co</t>
  </si>
  <si>
    <t>DIRECCION ADMINISTRATIVA DE TURISMO</t>
  </si>
  <si>
    <t>DEIBY ORLANDO</t>
  </si>
  <si>
    <t>FAJARDO ENRIQUEZ</t>
  </si>
  <si>
    <t>deibyfajardo@narino.gov.co</t>
  </si>
  <si>
    <t>LOPEZ BOLAÑOS</t>
  </si>
  <si>
    <t>deisylopez@narino.gov.co</t>
  </si>
  <si>
    <t>SUCRETARIA DE INFRAESTRUCTURA Y MINAS</t>
  </si>
  <si>
    <t>DESPACHOGOBERNADOR</t>
  </si>
  <si>
    <t>despachogobernador@narino.gov.co</t>
  </si>
  <si>
    <t>ZAMBRANO ZAMBRANO</t>
  </si>
  <si>
    <t>dianazambrano@narino.gov.co</t>
  </si>
  <si>
    <t>SUBSECRETARIA</t>
  </si>
  <si>
    <t>DIANA CAROLINA</t>
  </si>
  <si>
    <t>CARVAJAL GUERRERO</t>
  </si>
  <si>
    <t>dianacarvajal@narino.gov.co</t>
  </si>
  <si>
    <t>DIANA MARCELA</t>
  </si>
  <si>
    <t>CARDENAS QUINTERO</t>
  </si>
  <si>
    <t>dianacardenas@narino.gov.co</t>
  </si>
  <si>
    <t>DIANA MARIA</t>
  </si>
  <si>
    <t>dianasolarte@narino.gov.co</t>
  </si>
  <si>
    <t>BUCHELI BENAVIDES</t>
  </si>
  <si>
    <t>dianabucheli@narino.gov.co</t>
  </si>
  <si>
    <t>SECRETARIA DE EDUCACION - TESORERIA</t>
  </si>
  <si>
    <t>DIEGO ARMANDO</t>
  </si>
  <si>
    <t>TORO MELO</t>
  </si>
  <si>
    <t>diegotoro@narino.gov.co</t>
  </si>
  <si>
    <t>GOMEZ DAZA</t>
  </si>
  <si>
    <t>diegomez@narino.gov.co</t>
  </si>
  <si>
    <t>ORTIZ LOPEZ</t>
  </si>
  <si>
    <t>diegoortiz@narino.gov.co</t>
  </si>
  <si>
    <t>SUBSECRETARIA ADMINISTRATIVA</t>
  </si>
  <si>
    <t>DIRECCION ADMINISTRATIVA</t>
  </si>
  <si>
    <t>DE CONTRATACION</t>
  </si>
  <si>
    <t>direcciondac@narino.gov.co</t>
  </si>
  <si>
    <t>DIRECCION DE</t>
  </si>
  <si>
    <t>CULTURA</t>
  </si>
  <si>
    <t>DISCAPACIDAD - SECRETARIA DE EQUIDAD DE</t>
  </si>
  <si>
    <t>discapacidadsegis@narino.gov.co</t>
  </si>
  <si>
    <t>CASTRO LUNA</t>
  </si>
  <si>
    <t>dorainescastro@narino.gov.co</t>
  </si>
  <si>
    <t>EDER ALFREDO</t>
  </si>
  <si>
    <t>SANTACRUZ CORDOBA</t>
  </si>
  <si>
    <t>edersantacruz@narino.gov.co</t>
  </si>
  <si>
    <t>MAYA GUERRERO</t>
  </si>
  <si>
    <t>edgarmaya@narino.gov.co</t>
  </si>
  <si>
    <t>SECRETARIA DE INFRAESTRUCTURA Y MINAS - VIVIENDA</t>
  </si>
  <si>
    <t>EDGAR ARMANDO</t>
  </si>
  <si>
    <t>MALLAMA NARVAEZ</t>
  </si>
  <si>
    <t>edgarmallama@narino.gov.co</t>
  </si>
  <si>
    <t>EDGAR MAURICIO</t>
  </si>
  <si>
    <t>IBARRA PERDOMO</t>
  </si>
  <si>
    <t>mauricioibarra@narino.gov.co</t>
  </si>
  <si>
    <t>EDGAR ORLANDO</t>
  </si>
  <si>
    <t>AYALA COBO</t>
  </si>
  <si>
    <t>edgarayala@narino.gov.co</t>
  </si>
  <si>
    <t>QUIÑONES VALENCIA</t>
  </si>
  <si>
    <t>ezequielquinones@narino.gov.co</t>
  </si>
  <si>
    <t>SUBSECRETARIA DE PLANEACION Y COBERTURA SED</t>
  </si>
  <si>
    <t>EDISON</t>
  </si>
  <si>
    <t>FREIRE TEJADA</t>
  </si>
  <si>
    <t>edisonfreire@narino.gov.co</t>
  </si>
  <si>
    <t>turismo@narino.gov.co</t>
  </si>
  <si>
    <t>EDITH XIMENA</t>
  </si>
  <si>
    <t>MANOSALVA YELA</t>
  </si>
  <si>
    <t>ximenamanosalva@narino.gov.co</t>
  </si>
  <si>
    <t>EDUARD ROBERTO</t>
  </si>
  <si>
    <t>ALVAREZ DELGADO</t>
  </si>
  <si>
    <t>eduardalvarez@narino.gov.co</t>
  </si>
  <si>
    <t>MARCILLO BENAVIDES</t>
  </si>
  <si>
    <t>eduardomarcillo@narino.gov.co</t>
  </si>
  <si>
    <t>COMISION INTERNA</t>
  </si>
  <si>
    <t>PROFESIONAL ESPECIALIZADO GD 06</t>
  </si>
  <si>
    <t>EDWARD ALEXANDER</t>
  </si>
  <si>
    <t>edwardburbano@narino.gov.co</t>
  </si>
  <si>
    <t>EDWARD JIMMY</t>
  </si>
  <si>
    <t>CADENA FIGUEROA</t>
  </si>
  <si>
    <t>jimmycadena@narino.gov.co</t>
  </si>
  <si>
    <t>EDWIN FRANKLIN</t>
  </si>
  <si>
    <t>MARTINEZ CORDOBA</t>
  </si>
  <si>
    <t>edwinmartinez@narino.gov.co</t>
  </si>
  <si>
    <t>BOLANOS NARVAEZ</t>
  </si>
  <si>
    <t>edwinbolanos@narino.gov.co</t>
  </si>
  <si>
    <t>PROVISIONAL CARRERA ADMINISTRATIVA</t>
  </si>
  <si>
    <t>ASISTENCIAL</t>
  </si>
  <si>
    <t>EDY PATRICIO</t>
  </si>
  <si>
    <t>ORTEGA FONSECA</t>
  </si>
  <si>
    <t>edyortega@narino.gov.co</t>
  </si>
  <si>
    <t>BURBANO FUENTES</t>
  </si>
  <si>
    <t>elderburbano@narino.gov.co</t>
  </si>
  <si>
    <t>TECNICO CARRERA</t>
  </si>
  <si>
    <t>GUERRA FLOREZ</t>
  </si>
  <si>
    <t>elisaguerra@narino.gov.co</t>
  </si>
  <si>
    <t>ELIZABETH</t>
  </si>
  <si>
    <t>ZAMBRANO ESCOBAR</t>
  </si>
  <si>
    <t>elizabethzambrano@narino.gov.co</t>
  </si>
  <si>
    <t>ELSA MILENA</t>
  </si>
  <si>
    <t>DELGADO MARTINEZ</t>
  </si>
  <si>
    <t>milenadelgado@narino.gov.co</t>
  </si>
  <si>
    <t>ELSY JANETH</t>
  </si>
  <si>
    <t>MELO MAYA</t>
  </si>
  <si>
    <t>elsymelo@narino.gov.co</t>
  </si>
  <si>
    <t>DIRECTORA</t>
  </si>
  <si>
    <t>NARVAEZ ENRIQUEZ</t>
  </si>
  <si>
    <t>emilsennarvaez@narino.gov.co</t>
  </si>
  <si>
    <t>GUTIERREZ VALENCIA</t>
  </si>
  <si>
    <t>emmagutierrez@narino.gov.co</t>
  </si>
  <si>
    <t>albarosero@narino.gov.co</t>
  </si>
  <si>
    <t>PASAPORTES</t>
  </si>
  <si>
    <t>ERIKA JULIANA</t>
  </si>
  <si>
    <t>DIAZ GUALGUAN</t>
  </si>
  <si>
    <t>julianadiaz@narino.gov.co</t>
  </si>
  <si>
    <t>CAICEDO LOPEZ</t>
  </si>
  <si>
    <t>ERNESTO WLADIMIR</t>
  </si>
  <si>
    <t>USCATEGUI CABRERA</t>
  </si>
  <si>
    <t>wladimiruscategui@narino.gov.co</t>
  </si>
  <si>
    <t>SECRETARIO ADMINISTRATIVO CARRERA</t>
  </si>
  <si>
    <t>DIRECCIÓN ADMINISTRATIVA DE CULTURA</t>
  </si>
  <si>
    <t>ESCUELA -</t>
  </si>
  <si>
    <t>MI NARINO</t>
  </si>
  <si>
    <t>unidosporlaeducacion@narino.gov.co</t>
  </si>
  <si>
    <t>PU AUTOEVALUACION INSTITUCIONAL</t>
  </si>
  <si>
    <t>SUBSECRETARIA DE PLANEACION EDUCATIVA Y COBERTURA</t>
  </si>
  <si>
    <t>PAREDES OJEDA</t>
  </si>
  <si>
    <t>rosarioparedes@narino.gov.co</t>
  </si>
  <si>
    <t>ESTAMPILLAS</t>
  </si>
  <si>
    <t>DEPARTAMENTALES</t>
  </si>
  <si>
    <t>estampillasdepartamentales@narino.gov.co</t>
  </si>
  <si>
    <t>TESORERIA DEPARTAMENTAL</t>
  </si>
  <si>
    <t>ESTEBAN</t>
  </si>
  <si>
    <t>ORTIZ PATIÑO</t>
  </si>
  <si>
    <t>estebanortiz@narino.gov.co</t>
  </si>
  <si>
    <t>UNIDAD ADMINITRATIVA ESPECIAL VIA JUNIN - BARBACOAS</t>
  </si>
  <si>
    <t>TORRES LOPEZ</t>
  </si>
  <si>
    <t>estelatorres@narino.gov.co</t>
  </si>
  <si>
    <t>ESTRATEGIA PAE</t>
  </si>
  <si>
    <t>estrategiapae@narino.gov.co</t>
  </si>
  <si>
    <t>MARTINEZ RODRIGUEZ</t>
  </si>
  <si>
    <t>eulermartinez@narino.gov.co</t>
  </si>
  <si>
    <t>SECRETARIO DE PLANEACION</t>
  </si>
  <si>
    <t>ESPAÑA MAYA</t>
  </si>
  <si>
    <t>fabioespana@narino.gov.co</t>
  </si>
  <si>
    <t>FAVIO DIOMEDES</t>
  </si>
  <si>
    <t>ROSERO PAZ</t>
  </si>
  <si>
    <t>faviorosero@narino.gov.co</t>
  </si>
  <si>
    <t>LATORRE CALVACHE</t>
  </si>
  <si>
    <t>fernandolatorre@narino.gov.co</t>
  </si>
  <si>
    <t>FERNANDO RICARDO</t>
  </si>
  <si>
    <t>ONOFRE ROJAS</t>
  </si>
  <si>
    <t>fernandoonofre@narino.gov.co</t>
  </si>
  <si>
    <t>FINANCIERA - SECRETARIA DE EQUIDAD DE</t>
  </si>
  <si>
    <t>financierasegis@narino.gov.co</t>
  </si>
  <si>
    <t>MERA NOGUERA</t>
  </si>
  <si>
    <t>floralbamera@narino.gov.co</t>
  </si>
  <si>
    <t>FRANCES ROCIO</t>
  </si>
  <si>
    <t>ZUTTA AMADOR</t>
  </si>
  <si>
    <t>franceszutta@narino.gov.co</t>
  </si>
  <si>
    <t>FRANCISCO</t>
  </si>
  <si>
    <t>CRUZ JOJOA</t>
  </si>
  <si>
    <t>franciscocruz@narino.gov.co</t>
  </si>
  <si>
    <t>JAVIER PATIÑO MORA</t>
  </si>
  <si>
    <t>javierpatino@narino.gov.co</t>
  </si>
  <si>
    <t>CHACON VASQUEZ</t>
  </si>
  <si>
    <t>franciscochacon@narino.gov.co</t>
  </si>
  <si>
    <t>TREJOS CORAL</t>
  </si>
  <si>
    <t>fredytrejos@narino.gov.co</t>
  </si>
  <si>
    <t>GABRIEL EDUARDO</t>
  </si>
  <si>
    <t>OCANA AGUIRRE</t>
  </si>
  <si>
    <t>gabrielocana@narino.gov.co</t>
  </si>
  <si>
    <t>DIRECCION ADMINISTRATIVA DE GESTION DEL RIESGO DE DESASTRE</t>
  </si>
  <si>
    <t>GERARDO DANIEL</t>
  </si>
  <si>
    <t>GALLARDO YEPEZ</t>
  </si>
  <si>
    <t>gerardogallardo@narino.gov.co</t>
  </si>
  <si>
    <t>PROFESIONAL UNIVERSITARIO ENCARGADO</t>
  </si>
  <si>
    <t>RAMIREZ VELASCO</t>
  </si>
  <si>
    <t>gerardoramirez@narino.gov.co</t>
  </si>
  <si>
    <t>GERMAN</t>
  </si>
  <si>
    <t>CARLOSAMA LOPEZ</t>
  </si>
  <si>
    <t>germancarlosama@narino.gov.co</t>
  </si>
  <si>
    <t>GERMAN DAVID</t>
  </si>
  <si>
    <t>RUIZ FIGUEROA</t>
  </si>
  <si>
    <t>germanruiz@narino.gov.co</t>
  </si>
  <si>
    <t>GERSON STIVEN</t>
  </si>
  <si>
    <t>PEÑA VILLOTA</t>
  </si>
  <si>
    <t>gersonpena@narino.gov.co</t>
  </si>
  <si>
    <t>GESTION ORGANIZACIONAL</t>
  </si>
  <si>
    <t>gestionorganizacional@narino.gov.co</t>
  </si>
  <si>
    <t>GESTION SEDES</t>
  </si>
  <si>
    <t>gestionsedestransito@narino.gov.co</t>
  </si>
  <si>
    <t>GESTORA SOCIAL -</t>
  </si>
  <si>
    <t>gestorasocial@narino.gov.co</t>
  </si>
  <si>
    <t>PRIMERA DAMA</t>
  </si>
  <si>
    <t>GINA JANETH</t>
  </si>
  <si>
    <t>ginavillota@narino.gov.co</t>
  </si>
  <si>
    <t>GINNA MARITZA</t>
  </si>
  <si>
    <t>ORTIZ MUÑOZ</t>
  </si>
  <si>
    <t>ginnaortiz@narino.gov.co</t>
  </si>
  <si>
    <t>GINNA PAOLA</t>
  </si>
  <si>
    <t>ANDRADE FUERTES</t>
  </si>
  <si>
    <t>ginnaandrade@narino.gov.co</t>
  </si>
  <si>
    <t>MONCAYO MORA</t>
  </si>
  <si>
    <t>catherinemoncayo@narino.gov.co</t>
  </si>
  <si>
    <t>RODRIGUEZ ALAVA</t>
  </si>
  <si>
    <t>gladysrodriguez@narino.gov.co</t>
  </si>
  <si>
    <t>GLORIA ELIZABETH</t>
  </si>
  <si>
    <t>elizabethbastidas@narino.gov.co</t>
  </si>
  <si>
    <t>ENCARGADA CARRERA ADMINISTRATIVA</t>
  </si>
  <si>
    <t>GLORIA FERNANDA</t>
  </si>
  <si>
    <t>PASTAS MORALES</t>
  </si>
  <si>
    <t>fernandapastas@narino.gov.co</t>
  </si>
  <si>
    <t>MARTINEZ MEDINA</t>
  </si>
  <si>
    <t>gloriamartinez@narino.gov.co</t>
  </si>
  <si>
    <t>SUBSECRETARIA DE ECONOMÍA REGIONAL Y AGUA POTABLE</t>
  </si>
  <si>
    <t>GOBIERNO</t>
  </si>
  <si>
    <t>gobierno@narino.gov.co</t>
  </si>
  <si>
    <t>GUIDO ORLANDO</t>
  </si>
  <si>
    <t>MOSQUERA ESPARZA</t>
  </si>
  <si>
    <t>guidomosquera@narino.gov.co</t>
  </si>
  <si>
    <t>GUILLERMO ERNESTO</t>
  </si>
  <si>
    <t>GUERRERO QUIROZ</t>
  </si>
  <si>
    <t>guillermoguerrero@narino.gov.co</t>
  </si>
  <si>
    <t>GUSTAVO ADOLFO</t>
  </si>
  <si>
    <t>PEREZ LOPEZ</t>
  </si>
  <si>
    <t>gustavoperez@narino.gov.co</t>
  </si>
  <si>
    <t>HABITANTE DE CALLE - SECRETARIA DE EQUIDAD</t>
  </si>
  <si>
    <t>DE GENERO E INCLUSION SOCIAL</t>
  </si>
  <si>
    <t>habitantedecallesegis@narino.gov.co</t>
  </si>
  <si>
    <t>HACIENDA</t>
  </si>
  <si>
    <t>haciendapagovirtual@narino.gov.co</t>
  </si>
  <si>
    <t>OBANDO ENRIQUEZ</t>
  </si>
  <si>
    <t>hectorobando@narino.gov.co</t>
  </si>
  <si>
    <t>HERMEL EFRAIN</t>
  </si>
  <si>
    <t>GUERRERO ENRIQUEZ</t>
  </si>
  <si>
    <t>hermelguerrero@narino.gov.co</t>
  </si>
  <si>
    <t>HERNAN CABRERA</t>
  </si>
  <si>
    <t>CABRERA MARTINEZ</t>
  </si>
  <si>
    <t>hernancabrera@narino.gov.co</t>
  </si>
  <si>
    <t>HERNANDO</t>
  </si>
  <si>
    <t>URREA SIERRA</t>
  </si>
  <si>
    <t>hernandourrea@narino.gov.co</t>
  </si>
  <si>
    <t>HUGO RAMIRO</t>
  </si>
  <si>
    <t>SANTANDER JIMENEZ</t>
  </si>
  <si>
    <t>hugosantander@narino.gov.co</t>
  </si>
  <si>
    <t>HUMBERTO TOMAS</t>
  </si>
  <si>
    <t>CAICEDO CANAMEJOY</t>
  </si>
  <si>
    <t>humbertocaicedo@narino.gov.co</t>
  </si>
  <si>
    <t>IMPUESTO VEHICULAR -</t>
  </si>
  <si>
    <t>impuestovehiculos@narino.gov.co</t>
  </si>
  <si>
    <t>INFANCIA - SECRETARIA DE EQUIDAD DE</t>
  </si>
  <si>
    <t>infanciasegis@narino.gov.co</t>
  </si>
  <si>
    <t>INFORMES DE SUPERVISION</t>
  </si>
  <si>
    <t>DAC</t>
  </si>
  <si>
    <t>informessupervision@narino.gov.co</t>
  </si>
  <si>
    <t>INFRAESTRUCTURAYMINAS</t>
  </si>
  <si>
    <t>infraestructurayminas@narino.gov.co</t>
  </si>
  <si>
    <t>INGRID JOHANA</t>
  </si>
  <si>
    <t>SANTACRUZ SANTACRUZ</t>
  </si>
  <si>
    <t>johanasantacruz@narino.gov.co</t>
  </si>
  <si>
    <t>INGRID MAIRETH</t>
  </si>
  <si>
    <t>MELO SOLARTE</t>
  </si>
  <si>
    <t>ingridmelo@narino.gov.co</t>
  </si>
  <si>
    <t>INGRID SHIRLEY</t>
  </si>
  <si>
    <t>MANRIQUE DIÁZ</t>
  </si>
  <si>
    <t>ingridmanrique@narino.gov.co</t>
  </si>
  <si>
    <t>INGRITD FANNY</t>
  </si>
  <si>
    <t>CHAVES BRAVO</t>
  </si>
  <si>
    <t>ingritdchaves@narino.gov.co</t>
  </si>
  <si>
    <t>INSPECCION Y VIGILANCIA</t>
  </si>
  <si>
    <t>inspeccionyvigilanciased@narino.gov.co</t>
  </si>
  <si>
    <t>irmacabrera@narino.gov.co</t>
  </si>
  <si>
    <t>Tesoreria</t>
  </si>
  <si>
    <t>ISABEL CRISTINA</t>
  </si>
  <si>
    <t>SANTACRUZ LOPEZ</t>
  </si>
  <si>
    <t>isabelsantacruz@narino.gov.co</t>
  </si>
  <si>
    <t>SECRETARIA DE EDUCACION - RECURSOS HUMANOS</t>
  </si>
  <si>
    <t>IVAN RODRIGO</t>
  </si>
  <si>
    <t>IBARRA MUÑOZ</t>
  </si>
  <si>
    <t>ivanibarra@narino.gov.co</t>
  </si>
  <si>
    <t>JACKELIN DEL CARMEN</t>
  </si>
  <si>
    <t>LÓPEZ CALVACHI</t>
  </si>
  <si>
    <t>jackelinelopez@narino.gov.co</t>
  </si>
  <si>
    <t>JACKELINE</t>
  </si>
  <si>
    <t>CALVACHI ZAMBRANO</t>
  </si>
  <si>
    <t>PROFESIONAL UNIVERSITARIA GRADO 4</t>
  </si>
  <si>
    <t>PORTILLA DE LA CRUZ</t>
  </si>
  <si>
    <t>jaimeportilla@narino.gov.co</t>
  </si>
  <si>
    <t>ASISTENCIAL CELADOR CARRERA GD 02</t>
  </si>
  <si>
    <t>ALVEAR BOLANOS</t>
  </si>
  <si>
    <t>jaimealvear@narino.gov.co</t>
  </si>
  <si>
    <t>SECRETARIA DE AGRICULTURA</t>
  </si>
  <si>
    <t>JAIME ARMANDO</t>
  </si>
  <si>
    <t>DELGADO MENESES</t>
  </si>
  <si>
    <t>jaimedelgado@narino.gov.co</t>
  </si>
  <si>
    <t>JAIME DAVID</t>
  </si>
  <si>
    <t>PATIÑO GUERRERO</t>
  </si>
  <si>
    <t>jaimepatino@narino.gov.co</t>
  </si>
  <si>
    <t>JAIME HUGO</t>
  </si>
  <si>
    <t>ROSERO TOBAR</t>
  </si>
  <si>
    <t>jaimerosero@narino.gov.co</t>
  </si>
  <si>
    <t>CHAMORRO GER</t>
  </si>
  <si>
    <t>jairochamorro@narino.gov.co</t>
  </si>
  <si>
    <t>JAIRO ARTEMIO</t>
  </si>
  <si>
    <t>TIMANA CHAVES</t>
  </si>
  <si>
    <t>jairotimana@narino.gov.co</t>
  </si>
  <si>
    <t>CADENA ORTEGA</t>
  </si>
  <si>
    <t>jairocadena@narino.gov.co</t>
  </si>
  <si>
    <t>CORDOBA MEZA</t>
  </si>
  <si>
    <t>jairocordoba@narino.gov.co</t>
  </si>
  <si>
    <t>DEL CASTILLO RODRIGUEZ</t>
  </si>
  <si>
    <t>jamesdelcastillo@narino.gov.co</t>
  </si>
  <si>
    <t>SUBSECRETARIA DE ASUNTOS AGROPECUARIOS, TRANSFORMACION Y COMERCIALIZACION</t>
  </si>
  <si>
    <t>BURGOS SANCHEZ</t>
  </si>
  <si>
    <t>jamiltonburgos@narino.gov.co</t>
  </si>
  <si>
    <t>JAMILTON STEPHEN</t>
  </si>
  <si>
    <t>MONCAYO ORDOÑEZ</t>
  </si>
  <si>
    <t>jamiltonmoncayo@narino.gov.co</t>
  </si>
  <si>
    <t>JANNETH</t>
  </si>
  <si>
    <t>ROJAS JARAMILLO</t>
  </si>
  <si>
    <t>jannethjaramillo@narino.gov.co</t>
  </si>
  <si>
    <t>SECRETARIA DE RECREACION Y DEPORTES</t>
  </si>
  <si>
    <t>JARO EVERALDO</t>
  </si>
  <si>
    <t>BURBANO CALDERON</t>
  </si>
  <si>
    <t>jaroburbano@narino.gov.co</t>
  </si>
  <si>
    <t>MARTINEZ HUERTAS</t>
  </si>
  <si>
    <t>CORAL MUÑOZ</t>
  </si>
  <si>
    <t>javiercoral@narino.gov.co</t>
  </si>
  <si>
    <t>CONTADOR</t>
  </si>
  <si>
    <t>CONTADURIA GENERAL</t>
  </si>
  <si>
    <t>JAVIER ORLANDO</t>
  </si>
  <si>
    <t>MESIAS NARVAEZ</t>
  </si>
  <si>
    <t>javiermesias@narino.gov.co</t>
  </si>
  <si>
    <t>JAZMIN NATALY</t>
  </si>
  <si>
    <t>jazminbenavides@narino.gov.co</t>
  </si>
  <si>
    <t>JENIFER ALEJANDRA</t>
  </si>
  <si>
    <t>MARTINEZ CARDENAS</t>
  </si>
  <si>
    <t>jenifermartinez@narino.gov.co</t>
  </si>
  <si>
    <t>JENIFER TATIANA</t>
  </si>
  <si>
    <t>ESCOBAR VELASCO</t>
  </si>
  <si>
    <t>jeniferescobar@narino.gov.co</t>
  </si>
  <si>
    <t>JENNIFER ALEJANDRA</t>
  </si>
  <si>
    <t>UNIGARRO BASTIDAS</t>
  </si>
  <si>
    <t>alejandraunigarro@narino.gov.co</t>
  </si>
  <si>
    <t>JESUS ANTONIO</t>
  </si>
  <si>
    <t>PUENAYAN CANDO</t>
  </si>
  <si>
    <t>antoniopuenayan@narino.gov.co</t>
  </si>
  <si>
    <t>JESUS DAVID</t>
  </si>
  <si>
    <t>CEBALLOS YEPEZ</t>
  </si>
  <si>
    <t>davidceballos@narino.gov.co</t>
  </si>
  <si>
    <t>JESUS FERNANDO</t>
  </si>
  <si>
    <t>BELTRAN CHAVES</t>
  </si>
  <si>
    <t>jesusbeltran@narino.gov.co</t>
  </si>
  <si>
    <t>ROJAS CABRERA</t>
  </si>
  <si>
    <t>jhonrojas@narino.gov.co</t>
  </si>
  <si>
    <t>JHON JAIRO</t>
  </si>
  <si>
    <t>ESCOBAR TERAN</t>
  </si>
  <si>
    <t>jairoescobar@narino.gov.co</t>
  </si>
  <si>
    <t>ROSADA CERON</t>
  </si>
  <si>
    <t>jhonrosada@narino.gov.co</t>
  </si>
  <si>
    <t>JHONNY FERNANDO</t>
  </si>
  <si>
    <t>LOPEZ GOMEZ</t>
  </si>
  <si>
    <t>jhonnylopez@narino.gov.co</t>
  </si>
  <si>
    <t>JOHANA</t>
  </si>
  <si>
    <t>ZAMBRANO BENAVIDES</t>
  </si>
  <si>
    <t>johanazambrano@narino.gov.co</t>
  </si>
  <si>
    <t>JOHANA VANESA</t>
  </si>
  <si>
    <t>CORAL ALVARADO</t>
  </si>
  <si>
    <t>vanesacoral@narino.gov.co</t>
  </si>
  <si>
    <t>JOHANNA ANDREA</t>
  </si>
  <si>
    <t>MORILLO GUEVARA</t>
  </si>
  <si>
    <t>johannamorillo@narino.gov.co</t>
  </si>
  <si>
    <t>SUBSECRETARIA DE MINAS</t>
  </si>
  <si>
    <t>ESPANA CASTILLO</t>
  </si>
  <si>
    <t>johnespana@narino.gov.co</t>
  </si>
  <si>
    <t>JOHN GILMER</t>
  </si>
  <si>
    <t>MUESES ROSERO</t>
  </si>
  <si>
    <t>johnmueses@narino.gov.co</t>
  </si>
  <si>
    <t>RAMIREZ AGREDA</t>
  </si>
  <si>
    <t>johnramirez@narino.gov.co</t>
  </si>
  <si>
    <t>JOHN JAIR</t>
  </si>
  <si>
    <t>BASANTE SOLARTE</t>
  </si>
  <si>
    <t>johnbasante@narino.gov.co</t>
  </si>
  <si>
    <t>JOHN JAIRO</t>
  </si>
  <si>
    <t>ROSERO PORTILLA</t>
  </si>
  <si>
    <t>johnrosero@narino.gov.co</t>
  </si>
  <si>
    <t>JOHN JAVIER</t>
  </si>
  <si>
    <t>TAPIA MORALES</t>
  </si>
  <si>
    <t>johntapia@narino.gov.co</t>
  </si>
  <si>
    <t>Cobertura</t>
  </si>
  <si>
    <t>JOHN PAULO</t>
  </si>
  <si>
    <t>CORAL OVIEDO</t>
  </si>
  <si>
    <t>jhoncoral@narino.gov.co</t>
  </si>
  <si>
    <t>JONATHAN ALFREDO</t>
  </si>
  <si>
    <t>ARARA JURADO</t>
  </si>
  <si>
    <t>jonathanarara@narino.gov.co</t>
  </si>
  <si>
    <t>JONNATHAN</t>
  </si>
  <si>
    <t>BUCHELI GALINDO</t>
  </si>
  <si>
    <t>jonnathanbucheli@narino.gov.co</t>
  </si>
  <si>
    <t>JORGE</t>
  </si>
  <si>
    <t>CHAVES PINEDA</t>
  </si>
  <si>
    <t>jorgechavez@narino.gov.co</t>
  </si>
  <si>
    <t>OFICINA CONTROL INTERNO DE GESTION</t>
  </si>
  <si>
    <t>JORGE ANDRES</t>
  </si>
  <si>
    <t>LEIVA GUERRERO</t>
  </si>
  <si>
    <t>jorgeleiva@narino.gov.co</t>
  </si>
  <si>
    <t>ORTIZ MENA</t>
  </si>
  <si>
    <t>jorgeortiz@narino.gov.co</t>
  </si>
  <si>
    <t>PABON HIDALGO</t>
  </si>
  <si>
    <t>jorgepabon@narino.gov.co</t>
  </si>
  <si>
    <t>JORGE CAMILO</t>
  </si>
  <si>
    <t>RUANO CANCHALA</t>
  </si>
  <si>
    <t>camiloruano@narino.gov.co</t>
  </si>
  <si>
    <t>TOVAR CASTILLO</t>
  </si>
  <si>
    <t>jorgetovar@narino.gov.co</t>
  </si>
  <si>
    <t>JORGE LUIS</t>
  </si>
  <si>
    <t>jorgesantacruz@narino.gov.co</t>
  </si>
  <si>
    <t>BUSTAMANTE RIVERA</t>
  </si>
  <si>
    <t>jorgebustamante@narino.gov.co</t>
  </si>
  <si>
    <t>PANTOJA IPIALES</t>
  </si>
  <si>
    <t>josepantoja@narino.gov.co</t>
  </si>
  <si>
    <t>SUBSECRETARIO DE PAZ Y DDHH</t>
  </si>
  <si>
    <t>SANTACRUZ DELGADO</t>
  </si>
  <si>
    <t>josesantacruz@narino.gov.co</t>
  </si>
  <si>
    <t>OCHOA MONCAYO</t>
  </si>
  <si>
    <t>joseochoa@narino.gov.co</t>
  </si>
  <si>
    <t>NUPAN PAZ</t>
  </si>
  <si>
    <t>josenupan@narino.gov.co</t>
  </si>
  <si>
    <t>SECRETARIO EJECUTIVO (E)</t>
  </si>
  <si>
    <t>CHICAIZA DE LA CRUZ</t>
  </si>
  <si>
    <t>josechicaiza@narino.gov.co</t>
  </si>
  <si>
    <t>JOSE OSCAR</t>
  </si>
  <si>
    <t>ZAMBRANO CANCHALA</t>
  </si>
  <si>
    <t>oscarzambrano@narino.gov.co</t>
  </si>
  <si>
    <t>JOVENES - SECRETARIA DE EQUIDAD DE</t>
  </si>
  <si>
    <t>jovenessegis@narino.gov.co</t>
  </si>
  <si>
    <t>JUAN ALBERTO</t>
  </si>
  <si>
    <t>BURGOS FIGUEROA</t>
  </si>
  <si>
    <t>juanburgos@narino.gov.co</t>
  </si>
  <si>
    <t>ORTIZ NIEVAS</t>
  </si>
  <si>
    <t>juanortiz@narino.gov.co</t>
  </si>
  <si>
    <t>GUEVARA HIDALGO</t>
  </si>
  <si>
    <t>camiloguevara@narino.gov.co</t>
  </si>
  <si>
    <t>juanlasso@narino.gov.co</t>
  </si>
  <si>
    <t>juancarlosangulo@narino.gov.co</t>
  </si>
  <si>
    <t>BRAVO CABRERA</t>
  </si>
  <si>
    <t>juancarlosbravo@narino.gov.co</t>
  </si>
  <si>
    <t>GUERRERO BURBANO</t>
  </si>
  <si>
    <t>juancarlosguerrero@narino.gov.co</t>
  </si>
  <si>
    <t>MARTINEZ PINA</t>
  </si>
  <si>
    <t>juanmartinez@narino.gov.co</t>
  </si>
  <si>
    <t>JUAN DIEGO</t>
  </si>
  <si>
    <t>ROJAS GOMEZ</t>
  </si>
  <si>
    <t>juanrojas@narino.gov.co</t>
  </si>
  <si>
    <t>JUAN JOSE</t>
  </si>
  <si>
    <t>CORDOBA ERASO</t>
  </si>
  <si>
    <t>juancordoba@narino.gov.co</t>
  </si>
  <si>
    <t>LLANOS RUALES</t>
  </si>
  <si>
    <t>juanpablollanos@narino.gov.co</t>
  </si>
  <si>
    <t>URBANO BRAVO</t>
  </si>
  <si>
    <t>juanpablourbano@narino.gov.co</t>
  </si>
  <si>
    <t>JUAN SEBASTIAN</t>
  </si>
  <si>
    <t>SARMIENTO BURBANO</t>
  </si>
  <si>
    <t>sebastiansarmiento@narino.gov.co</t>
  </si>
  <si>
    <t>JULIA YENITH</t>
  </si>
  <si>
    <t>RAMIREZ GUERRERO</t>
  </si>
  <si>
    <t>juliaramirez@narino.gov.co</t>
  </si>
  <si>
    <t>OSPINA GIRON</t>
  </si>
  <si>
    <t>julianospina@narino.gov.co</t>
  </si>
  <si>
    <t>MARTINEZ DEJOY</t>
  </si>
  <si>
    <t>juliomartinez@narino.gov.co</t>
  </si>
  <si>
    <t>JURIDICA</t>
  </si>
  <si>
    <t>juridicased@narino.gov.co</t>
  </si>
  <si>
    <t>JURIDICA -</t>
  </si>
  <si>
    <t>juridica@narino.gov.co</t>
  </si>
  <si>
    <t>luciahernandez@narino.gov.co</t>
  </si>
  <si>
    <t>pdajuridica@narino.gov.co</t>
  </si>
  <si>
    <t>JURIDICO - SECRETARIA DE AMBIENTE</t>
  </si>
  <si>
    <t>Y DESARROLLO SOSTENIBLE</t>
  </si>
  <si>
    <t>juridicosads@narino.gov.co</t>
  </si>
  <si>
    <t>JURIDICOS - SECRETARIA DE EQUIDAD</t>
  </si>
  <si>
    <t>juridicossegis@narino.gov.co</t>
  </si>
  <si>
    <t>KAREN ALEJANDRA</t>
  </si>
  <si>
    <t>GALVIS LIZCANO</t>
  </si>
  <si>
    <t>karengalvis@narino.gov.co</t>
  </si>
  <si>
    <t>OFICINA DELEGADA EN BOGOTA</t>
  </si>
  <si>
    <t>KAREN AURA</t>
  </si>
  <si>
    <t>CHAVES OBANDO</t>
  </si>
  <si>
    <t>karenchaves@narino.gov.co</t>
  </si>
  <si>
    <t>KAREN LISBETH</t>
  </si>
  <si>
    <t>LIMA ROSERO</t>
  </si>
  <si>
    <t>karenlima@narino.gov.co</t>
  </si>
  <si>
    <t>KAREN VIVIANA</t>
  </si>
  <si>
    <t>MORALES LUNA</t>
  </si>
  <si>
    <t>karenmorales@narino.gov.co</t>
  </si>
  <si>
    <t>KARENT</t>
  </si>
  <si>
    <t>karenrosas@narino.gov.co</t>
  </si>
  <si>
    <t>KAROL IVETTE</t>
  </si>
  <si>
    <t>VILLOTA ORTIZ</t>
  </si>
  <si>
    <t>karolvillota@narino.gov.co</t>
  </si>
  <si>
    <t>KATHERINE JULIANA</t>
  </si>
  <si>
    <t>GUERRERO PANTOJA</t>
  </si>
  <si>
    <t>katherineguerrero@narino.gov.co</t>
  </si>
  <si>
    <t>KATHERINE JULIETH</t>
  </si>
  <si>
    <t>TIMANA MARTINEZ</t>
  </si>
  <si>
    <t>katherinetimana@narino.gov.co</t>
  </si>
  <si>
    <t>KELLY DANIELA</t>
  </si>
  <si>
    <t>RODRIGUEZ CASTRO</t>
  </si>
  <si>
    <t>danielarodriguez@narino.gov.co</t>
  </si>
  <si>
    <t>LAURA STEFANIA</t>
  </si>
  <si>
    <t>BARCO CUATINDIOY</t>
  </si>
  <si>
    <t>laurabarco@narino.gov.co</t>
  </si>
  <si>
    <t>LEIDY LORENA</t>
  </si>
  <si>
    <t>ESPAÑA APRAEZ</t>
  </si>
  <si>
    <t>lorenaespana@narino.gov.co</t>
  </si>
  <si>
    <t>LEIDY PAOLA</t>
  </si>
  <si>
    <t>HERNANDEZ ORDOÑEZ</t>
  </si>
  <si>
    <t>leidyhernandez@narino.gov.co</t>
  </si>
  <si>
    <t>LEONARDO FABIAN</t>
  </si>
  <si>
    <t>FLOREZ BOLAÑOS</t>
  </si>
  <si>
    <t>leonardoflorez@narino.gov.co</t>
  </si>
  <si>
    <t>SUBSECRETARIA INNOVACION</t>
  </si>
  <si>
    <t>GARCIA MONCAYO</t>
  </si>
  <si>
    <t>germangarcia@narino.gov.co</t>
  </si>
  <si>
    <t>ASISTENCIAL CELADOR CARRERA</t>
  </si>
  <si>
    <t>LGTBI - SECRETARIA DE EQUIDAD DE</t>
  </si>
  <si>
    <t>lgtbisegis@narino.gov.co</t>
  </si>
  <si>
    <t>VEGA MERA</t>
  </si>
  <si>
    <t>liliavega@narino.gov.co</t>
  </si>
  <si>
    <t>SECRETARIA GENERAL - ALMACEN</t>
  </si>
  <si>
    <t>LILIANA CECILIA</t>
  </si>
  <si>
    <t>BURGOS LOPEZ</t>
  </si>
  <si>
    <t>lilianaburgos@narino.gov.co</t>
  </si>
  <si>
    <t>ORTEGA MORA</t>
  </si>
  <si>
    <t>lilianaortega@narino.gov.co</t>
  </si>
  <si>
    <t>RIVAS CAICEDO</t>
  </si>
  <si>
    <t>lilianarivas@narino.gov.co</t>
  </si>
  <si>
    <t>LILIANA PATRICIA</t>
  </si>
  <si>
    <t>PORTILLA ORBES</t>
  </si>
  <si>
    <t>lilianaportilla@narino.gov.co</t>
  </si>
  <si>
    <t>LINA</t>
  </si>
  <si>
    <t>CABRERA URQUIQUI</t>
  </si>
  <si>
    <t>linacabrera@narino.gov.co</t>
  </si>
  <si>
    <t>LIQUIDACIONES - SUBSECRETARIA DE</t>
  </si>
  <si>
    <t>TRANSITO Y TRANSPORTE</t>
  </si>
  <si>
    <t>liquidacionestransito@narino.gov.co</t>
  </si>
  <si>
    <t>LORENA</t>
  </si>
  <si>
    <t>GUERRERO CUAYAL</t>
  </si>
  <si>
    <t>lorenaguerrero@narino.gov.co</t>
  </si>
  <si>
    <t>ANDRADE VIVAS</t>
  </si>
  <si>
    <t>lorenaandrade@narino.gov.co</t>
  </si>
  <si>
    <t>SECRETARIA PRIVADA</t>
  </si>
  <si>
    <t>LORENA JANETH</t>
  </si>
  <si>
    <t>DORADO SAPUYES</t>
  </si>
  <si>
    <t>lorenadorado@narino.gov.co</t>
  </si>
  <si>
    <t>SECRETARIA DE RECREACION Y DEPORTE</t>
  </si>
  <si>
    <t>LORENA MELIZA</t>
  </si>
  <si>
    <t>ORTIZ DIAZ</t>
  </si>
  <si>
    <t>lorenaortiz@narino.gov.co</t>
  </si>
  <si>
    <t>HERNANDEZ ERASO</t>
  </si>
  <si>
    <t>LUCIA VIVIANA</t>
  </si>
  <si>
    <t>FOLLECO LOPEZ</t>
  </si>
  <si>
    <t>vivianafolleco@narino.gov.co</t>
  </si>
  <si>
    <t>LUCY ESTEFHANIA</t>
  </si>
  <si>
    <t>YEPEZ VILLOTA</t>
  </si>
  <si>
    <t>estefhaniayepez@narino.gov.co</t>
  </si>
  <si>
    <t>CAICEDO CARVAJAL</t>
  </si>
  <si>
    <t>lucycaicedo@narino.gov.co</t>
  </si>
  <si>
    <t>LUIS ALBERTO</t>
  </si>
  <si>
    <t>ANDRADE LUNA</t>
  </si>
  <si>
    <t>luisandrade@narino.gov.co</t>
  </si>
  <si>
    <t>OJEDA PATIÑO</t>
  </si>
  <si>
    <t>luisojeda@narino.gov.co</t>
  </si>
  <si>
    <t>ENRIQUEZ ESTRADA</t>
  </si>
  <si>
    <t>luisenriquez@narino.gov.co</t>
  </si>
  <si>
    <t>DELGADO BENAVIDES</t>
  </si>
  <si>
    <t>luiscarlosdelgado@narino.gov.co</t>
  </si>
  <si>
    <t>TECNICO OPERATIVO GRADO 06</t>
  </si>
  <si>
    <t>ESPAÑA CHAVES</t>
  </si>
  <si>
    <t>luisespana@narino.gov.co</t>
  </si>
  <si>
    <t>BURBANO VALLEJO</t>
  </si>
  <si>
    <t>luisburbano@narino.gov.co</t>
  </si>
  <si>
    <t>UNIDAD ADMINISTRATIVA ESPECIAL VIAL JUNIN - BARBACOAS</t>
  </si>
  <si>
    <t>fernandoeraso@narino.gov.co</t>
  </si>
  <si>
    <t>LUIS GUILLERMO</t>
  </si>
  <si>
    <t>TORRES ERASO</t>
  </si>
  <si>
    <t>luistorres@narino.gov.co</t>
  </si>
  <si>
    <t>LUIS HUMBERTO</t>
  </si>
  <si>
    <t>luiscaicedo@narino.gov.co</t>
  </si>
  <si>
    <t>PAREDES GALARRAGA</t>
  </si>
  <si>
    <t>luisparedes@narino.gov.co</t>
  </si>
  <si>
    <t>LUISA FERNANDA</t>
  </si>
  <si>
    <t>CARMONA CARDONA</t>
  </si>
  <si>
    <t>luisacarmona@narino.gov.co</t>
  </si>
  <si>
    <t>LUZ ARIANA</t>
  </si>
  <si>
    <t>CABRERA ORTIZ</t>
  </si>
  <si>
    <t>arianacabrera@narino.gov.co</t>
  </si>
  <si>
    <t>SANCHEZ JURADO</t>
  </si>
  <si>
    <t>luzdarysanchez@narino.gov.co</t>
  </si>
  <si>
    <t>BUSTOS MUNOZ</t>
  </si>
  <si>
    <t>luzdarybustos@narino.gov.co</t>
  </si>
  <si>
    <t>MAGALY</t>
  </si>
  <si>
    <t>ORTIZ RODRIGUEZ</t>
  </si>
  <si>
    <t>magalyortiz@narino.gov.co</t>
  </si>
  <si>
    <t>MAGDA</t>
  </si>
  <si>
    <t>HIDALGO CADENA</t>
  </si>
  <si>
    <t>magdahidalgo@narino.gov.co</t>
  </si>
  <si>
    <t>MAGDA CRISTINA</t>
  </si>
  <si>
    <t>DELGADO OBANDO</t>
  </si>
  <si>
    <t>magdadelgado@narino.gov.co</t>
  </si>
  <si>
    <t>publicaciondeprocesos@narino.gov.co</t>
  </si>
  <si>
    <t>MARCELA</t>
  </si>
  <si>
    <t>NARVAEZ VALENCIA</t>
  </si>
  <si>
    <t>marcelanarvaez@narino.gov.co</t>
  </si>
  <si>
    <t>ACOSTA OBANDO</t>
  </si>
  <si>
    <t>marcelaacosta@narino.gov.co</t>
  </si>
  <si>
    <t>MARCO ALBERTO</t>
  </si>
  <si>
    <t>MIRANDA NARVAEZ</t>
  </si>
  <si>
    <t>marcomiranda@narino.gov.co</t>
  </si>
  <si>
    <t>ROSERO MORA</t>
  </si>
  <si>
    <t>margaritarosero@narino.gov.co</t>
  </si>
  <si>
    <t>SUBSECRETARIA DE CALIDAD EDUCATIVA - SED</t>
  </si>
  <si>
    <t>REVELO PANTOJA</t>
  </si>
  <si>
    <t>angelarevelo@narino.gov.co</t>
  </si>
  <si>
    <t>MARIA BETTY</t>
  </si>
  <si>
    <t>CABRERA PANTOJA</t>
  </si>
  <si>
    <t>bettycabrera@narino.gov.co</t>
  </si>
  <si>
    <t>SECRETARIA EJECUTIVA ADMIN. CARRERA</t>
  </si>
  <si>
    <t>MARIA CAMILA</t>
  </si>
  <si>
    <t>DIAZ PAREDES</t>
  </si>
  <si>
    <t>mariacamiladiaz@narino.gov.co</t>
  </si>
  <si>
    <t>SEPULVEDA CASANOVA</t>
  </si>
  <si>
    <t>mariasepulveda@narino.gov.co</t>
  </si>
  <si>
    <t>MONCAYO VEGA</t>
  </si>
  <si>
    <t>cristinamoncayo@narino.gov.co</t>
  </si>
  <si>
    <t>MARIA DANIELA</t>
  </si>
  <si>
    <t>CHAMORRO BENAVIDES</t>
  </si>
  <si>
    <t>danielachamorro@narino.gov.co</t>
  </si>
  <si>
    <t>MARIA ELSA</t>
  </si>
  <si>
    <t>JURADO GRIJALBA</t>
  </si>
  <si>
    <t>elsajurado@narino.gov.co</t>
  </si>
  <si>
    <t>mariaeugeniaburbano@narino.gov.co</t>
  </si>
  <si>
    <t>ORTEGA SARRIA</t>
  </si>
  <si>
    <t>fernandaortega@narino.gov.co</t>
  </si>
  <si>
    <t>ERASO GUERRERO</t>
  </si>
  <si>
    <t>mariafernandaeraso@narino.gov.co</t>
  </si>
  <si>
    <t>DE LA ROSA SARMIENTO</t>
  </si>
  <si>
    <t>mariafernandadelarosa@narino.gov.co</t>
  </si>
  <si>
    <t>TESORERA</t>
  </si>
  <si>
    <t>ROJAS MERA</t>
  </si>
  <si>
    <t>mariafernandarojas@narino.gov.co</t>
  </si>
  <si>
    <t>MARIA LUCRECIA</t>
  </si>
  <si>
    <t>HERRERA PORTILLA</t>
  </si>
  <si>
    <t>mariaherrera@narino.gov.co</t>
  </si>
  <si>
    <t>GUERRERO JOJOA</t>
  </si>
  <si>
    <t>marialuisaguerrero@narino.gov.co</t>
  </si>
  <si>
    <t>MARIA MARCELA</t>
  </si>
  <si>
    <t>marcelaleiton@narino.gov.co</t>
  </si>
  <si>
    <t>MARIA MARGARITA</t>
  </si>
  <si>
    <t>VILLOTA VELA</t>
  </si>
  <si>
    <t>mariavillota@narino.gov.co</t>
  </si>
  <si>
    <t>GOMEZ SALAS</t>
  </si>
  <si>
    <t>mariamonicagomez@narino.gov.co</t>
  </si>
  <si>
    <t>CHAMORRO MUNOZ</t>
  </si>
  <si>
    <t>nellychamorro@narino.gov.co</t>
  </si>
  <si>
    <t>MARIN</t>
  </si>
  <si>
    <t>DELGADO GOMEZ</t>
  </si>
  <si>
    <t>marindelgado@narino.gov.co</t>
  </si>
  <si>
    <t>P.U. DE PLANES Y PROGRAMAS</t>
  </si>
  <si>
    <t>SECRETARIA DE EDUCACION - PLANEACION EDUCATIVA</t>
  </si>
  <si>
    <t>TRUJILLO CERON</t>
  </si>
  <si>
    <t>mariotrujillo@narino.gov.co</t>
  </si>
  <si>
    <t>SUBSECRETARIO DE VIAS</t>
  </si>
  <si>
    <t>MARIO DANIEL</t>
  </si>
  <si>
    <t>CADENA BACCA</t>
  </si>
  <si>
    <t>danielcadena@narino.gov.co</t>
  </si>
  <si>
    <t>GERENTE</t>
  </si>
  <si>
    <t>GERENTE GENERAL LOTERIA DE NARIÑO</t>
  </si>
  <si>
    <t>ENRIQUEZ CHENAS</t>
  </si>
  <si>
    <t>marioenriquez@narino.gov.co</t>
  </si>
  <si>
    <t>RIASCOS MARTINEZ</t>
  </si>
  <si>
    <t>marioriascos@narino.gov.co</t>
  </si>
  <si>
    <t>CORRESPONDENCIA</t>
  </si>
  <si>
    <t>BENAVIDES JIMENEZ</t>
  </si>
  <si>
    <t>mariobenavides@narino.gov.co</t>
  </si>
  <si>
    <t>ZUTTA AREVALO</t>
  </si>
  <si>
    <t>mariozutta@narino.gov.co</t>
  </si>
  <si>
    <t>DUQUE LOZANO</t>
  </si>
  <si>
    <t>marioduque@narino.gov.co</t>
  </si>
  <si>
    <t>PROFESIONAL UNIVERSITARIO GRADO 04</t>
  </si>
  <si>
    <t>SUBSECRETARIA DE RENTAS - MAQUILA</t>
  </si>
  <si>
    <t>MARIO GERMAN</t>
  </si>
  <si>
    <t>mariogermanbenavides@narino.gov.co</t>
  </si>
  <si>
    <t>MARITZA</t>
  </si>
  <si>
    <t>MARTINEZ CRIOLLO</t>
  </si>
  <si>
    <t>maritzamartinez@narino.gov.co</t>
  </si>
  <si>
    <t>UNIDAD ADMINTRATIVA ESPECIAL VIA JUNIN - BARBACOAS</t>
  </si>
  <si>
    <t>MARITZA GENITH</t>
  </si>
  <si>
    <t>MUÑOZ SANTACRUZ</t>
  </si>
  <si>
    <t>maritzamunoz@narino.gov.co</t>
  </si>
  <si>
    <t>MARTHA ISABEL</t>
  </si>
  <si>
    <t>DELGADO ESPANA</t>
  </si>
  <si>
    <t>marthadelgado@narino.gov.co</t>
  </si>
  <si>
    <t>MAURA ALEJANDRA</t>
  </si>
  <si>
    <t>PABON LARA</t>
  </si>
  <si>
    <t>maurapabon@narino.gov.co</t>
  </si>
  <si>
    <t>DIRECCION ADMINSTRATIVA DE TURISMO</t>
  </si>
  <si>
    <t>PASCUAZA GAMBOA</t>
  </si>
  <si>
    <t>maurapascuaza@narino.gov.co</t>
  </si>
  <si>
    <t>ALMACEN GENERAL</t>
  </si>
  <si>
    <t>CABEZAS PORTILLA</t>
  </si>
  <si>
    <t>mauriciocabezas@narino.gov.co</t>
  </si>
  <si>
    <t>ALMACEN</t>
  </si>
  <si>
    <t>MAYERLY</t>
  </si>
  <si>
    <t>GUERRERO BASTIDAS</t>
  </si>
  <si>
    <t>mayerlyguerrero@narino.gov.co</t>
  </si>
  <si>
    <t>ASISTENCIAL ASEADORA CARRERA GD 01</t>
  </si>
  <si>
    <t>MAYRA DANIELA</t>
  </si>
  <si>
    <t>PORTILLA BASTIDAS</t>
  </si>
  <si>
    <t>danielaportilla@narino.gov.co</t>
  </si>
  <si>
    <t>DELGADO DE GUERRERO</t>
  </si>
  <si>
    <t>mercedesdelgado@narino.gov.co</t>
  </si>
  <si>
    <t>TESORERIA COBRO COACTIVO</t>
  </si>
  <si>
    <t>SALAZAR FIGUEROA</t>
  </si>
  <si>
    <t>mercedesalazar@narino.gov.co</t>
  </si>
  <si>
    <t>MESADESAPARICION</t>
  </si>
  <si>
    <t>GOBERNACIÃ“N NARIÃ‘O</t>
  </si>
  <si>
    <t>mesadesaparicion@narino.gov.co</t>
  </si>
  <si>
    <t>MIESCUELA MICASA</t>
  </si>
  <si>
    <t>JORNADA UNICA</t>
  </si>
  <si>
    <t>miescuela@narino.gov.co</t>
  </si>
  <si>
    <t>MIGUEL ANGEL</t>
  </si>
  <si>
    <t>PEREZ ZAMBRANO</t>
  </si>
  <si>
    <t>miguelperez@narino.gov.co</t>
  </si>
  <si>
    <t>PORTILLA RODRIGUEZ</t>
  </si>
  <si>
    <t>miltonportilla@narino.gov.co</t>
  </si>
  <si>
    <t>MIRYAM</t>
  </si>
  <si>
    <t>PAZ SOLARTE</t>
  </si>
  <si>
    <t>miryampaz@narino.gov.co</t>
  </si>
  <si>
    <t>MODELO INTEGRADO DE PLANEACION</t>
  </si>
  <si>
    <t>Y GESTION</t>
  </si>
  <si>
    <t>mipg@narino.gov.co</t>
  </si>
  <si>
    <t>MONICA DEL PILAR</t>
  </si>
  <si>
    <t>ARTURO ROSERO</t>
  </si>
  <si>
    <t>monicaarturo@narino.gov.co</t>
  </si>
  <si>
    <t>MONICA LORENA</t>
  </si>
  <si>
    <t>CANCHALA CASTRO</t>
  </si>
  <si>
    <t>monicacanchala@narino.gov.co</t>
  </si>
  <si>
    <t>MONICA LUCIA</t>
  </si>
  <si>
    <t>MENESES BOLANOS</t>
  </si>
  <si>
    <t>MONICA VIRGINIA</t>
  </si>
  <si>
    <t>GONZALEZ BAEZ</t>
  </si>
  <si>
    <t>monicagonzalez@narino.gov.co</t>
  </si>
  <si>
    <t>NADUA NADIMA</t>
  </si>
  <si>
    <t>BOTINA JIMENEZ</t>
  </si>
  <si>
    <t>naduabotina@narino.gov.co</t>
  </si>
  <si>
    <t>NANCY YORLENI</t>
  </si>
  <si>
    <t>LASSO DELGADO</t>
  </si>
  <si>
    <t>nancylasso@narino.gov.co</t>
  </si>
  <si>
    <t>Nariño</t>
  </si>
  <si>
    <t>Departamento</t>
  </si>
  <si>
    <t>admin@narino.gov.co</t>
  </si>
  <si>
    <t>Gobernación</t>
  </si>
  <si>
    <t>noreply@narino.gov.co</t>
  </si>
  <si>
    <t>NATALIA FERNANDA</t>
  </si>
  <si>
    <t>RAMOS OBANDO</t>
  </si>
  <si>
    <t>nataliaramos@narino.gov.co</t>
  </si>
  <si>
    <t>NATALY DEL CARMEN</t>
  </si>
  <si>
    <t>GUERRERO LUNA</t>
  </si>
  <si>
    <t>natalyguerrero@narino.gov.co</t>
  </si>
  <si>
    <t>CONTABILIDAD DEPARTAMENTAL</t>
  </si>
  <si>
    <t>NATHALIA DE LOS ANGELES</t>
  </si>
  <si>
    <t>ROSERO PANTOJA</t>
  </si>
  <si>
    <t>nathaliarosero@narino.gov.co</t>
  </si>
  <si>
    <t>CONTADURIA DEPARTAMENTAL</t>
  </si>
  <si>
    <t>NATHALY CECILIA</t>
  </si>
  <si>
    <t>SILVESTRE BOLAÑOS</t>
  </si>
  <si>
    <t>nathalysilvestre@narino.gov.co</t>
  </si>
  <si>
    <t>ORTIZ JOJOA</t>
  </si>
  <si>
    <t>nelcyortiz@narino.gov.co</t>
  </si>
  <si>
    <t>NELSON MAURICIO</t>
  </si>
  <si>
    <t>nelsonmauricionarvaez@narino.gov.co</t>
  </si>
  <si>
    <t>NARVAEZ MORA</t>
  </si>
  <si>
    <t>nelsonnarvaez@narino.gov.co</t>
  </si>
  <si>
    <t>NELSON STEVEN</t>
  </si>
  <si>
    <t>ANDRADE VILLOTA</t>
  </si>
  <si>
    <t>nelsonandrade@narino.gov.co</t>
  </si>
  <si>
    <t>CONTRATA</t>
  </si>
  <si>
    <t>NILSON</t>
  </si>
  <si>
    <t>CAICEDO SOLARTE</t>
  </si>
  <si>
    <t>nilsoncaicedo@narino.gov.co</t>
  </si>
  <si>
    <t>SECRETARIO EJECUTIVO</t>
  </si>
  <si>
    <t>NILZA</t>
  </si>
  <si>
    <t>nilzapantoja@narino.gov.co</t>
  </si>
  <si>
    <t>ORTEGA BRAVO</t>
  </si>
  <si>
    <t>nixonortega@narino.gov.co</t>
  </si>
  <si>
    <t>NOTIFICACIONES -</t>
  </si>
  <si>
    <t>notificacionessed@narino.gov.co</t>
  </si>
  <si>
    <t>CARRERA ADMINSTRATIVA</t>
  </si>
  <si>
    <t>TÉCNICO OPERATIVO ATENCIÓN AL CIUDADANO</t>
  </si>
  <si>
    <t>SECRETARIA DE EDUCACION - OFICINA DE ATENCION AL CIUDADANO</t>
  </si>
  <si>
    <t>notificaciones@narino.gov.co</t>
  </si>
  <si>
    <t>BASTIDAS SANTANDER</t>
  </si>
  <si>
    <t>nubiabastidas@narino.gov.co</t>
  </si>
  <si>
    <t>YANDAR GARCIA</t>
  </si>
  <si>
    <t>patriciayandar@narino.gov.co</t>
  </si>
  <si>
    <t>NUBIA YOLANDA</t>
  </si>
  <si>
    <t>MORENO ENRIQUEZ</t>
  </si>
  <si>
    <t>nubiamoreno@narino.gov.co</t>
  </si>
  <si>
    <t>NURY DILVANIA</t>
  </si>
  <si>
    <t>TORRES DIAZ</t>
  </si>
  <si>
    <t>nurytorres@narino.gov.co</t>
  </si>
  <si>
    <t>NURY YADIRA</t>
  </si>
  <si>
    <t>VILLARREAL VELASCO</t>
  </si>
  <si>
    <t>nuryvillarreal@narino.gov.co</t>
  </si>
  <si>
    <t>OBSERVATORIO -</t>
  </si>
  <si>
    <t>observatorio@narino.gov.co</t>
  </si>
  <si>
    <t>OBSERVATORIO DE SOBERANIA Y</t>
  </si>
  <si>
    <t>SEGURIDAD ALIMENTARIA</t>
  </si>
  <si>
    <t>ossan@narino.gov.co</t>
  </si>
  <si>
    <t>PROGRAMA SOBERANIA Y SEGURIDAD ALIMENTARIA</t>
  </si>
  <si>
    <t>OFICINA</t>
  </si>
  <si>
    <t>VICTIMAS</t>
  </si>
  <si>
    <t>victimas@narino.gov.co</t>
  </si>
  <si>
    <t>OLGA ALICIA</t>
  </si>
  <si>
    <t>TREJOS MONCAYO</t>
  </si>
  <si>
    <t>olgatrejos@narino.gov.co</t>
  </si>
  <si>
    <t>BURBANO ERAZO</t>
  </si>
  <si>
    <t>olgaburbano@narino.gov.co</t>
  </si>
  <si>
    <t>OMAR</t>
  </si>
  <si>
    <t>omarmunoz@narino.gov.co</t>
  </si>
  <si>
    <t>PROFESIONAL UNIVERSITARIO SED</t>
  </si>
  <si>
    <t>OMAR LIBARDO</t>
  </si>
  <si>
    <t>ARTEAGA PANTOJA</t>
  </si>
  <si>
    <t>omararteaga@narino.gov.co</t>
  </si>
  <si>
    <t>OSCAR</t>
  </si>
  <si>
    <t>GONZALEZ RAMIREZ</t>
  </si>
  <si>
    <t>oscargonzalez@narino.gov.co</t>
  </si>
  <si>
    <t>VELASQUEZ SARASTY</t>
  </si>
  <si>
    <t>andresvelasquez@narino.gov.co</t>
  </si>
  <si>
    <t>OSCAR DAVID</t>
  </si>
  <si>
    <t>oscarcaratar@narino.gov.co</t>
  </si>
  <si>
    <t>OSCAR GUILLERMO</t>
  </si>
  <si>
    <t>REVELO ENRIQUEZ</t>
  </si>
  <si>
    <t>oscarrevelo@narino.gov.co</t>
  </si>
  <si>
    <t>OSCAR GUSTAVO</t>
  </si>
  <si>
    <t>MEJIA ORDOÑEZ</t>
  </si>
  <si>
    <t>gustavomejia@narino.gov.co</t>
  </si>
  <si>
    <t>SUBSECRETARIA DE ECONOMIA Y AGUA POTABLE</t>
  </si>
  <si>
    <t>IBARRA CERON</t>
  </si>
  <si>
    <t>oscaribarra@narino.gov.co</t>
  </si>
  <si>
    <t>PAGOS SERVICIOS AMBIENTALES -</t>
  </si>
  <si>
    <t>pagosserviciosambientales@narino.gov.co</t>
  </si>
  <si>
    <t>pasaportes@narino.gov.co</t>
  </si>
  <si>
    <t>PATRICIA</t>
  </si>
  <si>
    <t>MARTINEZ SOLARTE</t>
  </si>
  <si>
    <t>patriciamartinez@narino.gov.co</t>
  </si>
  <si>
    <t>MELO RAMIREZ</t>
  </si>
  <si>
    <t>patriciamelo@narino.gov.co</t>
  </si>
  <si>
    <t>PAULA ANDREA</t>
  </si>
  <si>
    <t>PAZ MARTINEZ</t>
  </si>
  <si>
    <t>paulapaz@narino.gov.co</t>
  </si>
  <si>
    <t>PAULA LORENA</t>
  </si>
  <si>
    <t>NARVAEZ MEDINA</t>
  </si>
  <si>
    <t>paulanarvaez@narino.gov.co</t>
  </si>
  <si>
    <t>PROFESIONAL UNIVERTARIA</t>
  </si>
  <si>
    <t>PAULINA</t>
  </si>
  <si>
    <t>GUERRA QUETAMA</t>
  </si>
  <si>
    <t>paulinaguerra@narino.gov.co</t>
  </si>
  <si>
    <t>PAZ - SUBSECRETARIA DE PAZ</t>
  </si>
  <si>
    <t>Y DERECHOS HUMANOS</t>
  </si>
  <si>
    <t>paz@narino.gov.co</t>
  </si>
  <si>
    <t>PAZ REINCORPORACION</t>
  </si>
  <si>
    <t>- DDHH</t>
  </si>
  <si>
    <t>pazreincorporacion@narino.gov.co</t>
  </si>
  <si>
    <t>pap-pdanarino@narino.gov.co</t>
  </si>
  <si>
    <t>PDA - GESTION</t>
  </si>
  <si>
    <t>DEL RIESGO</t>
  </si>
  <si>
    <t>pdagestiondelriesgo@narino.gov.co</t>
  </si>
  <si>
    <t>PEDRO PABLO</t>
  </si>
  <si>
    <t>pedroburbano@narino.gov.co</t>
  </si>
  <si>
    <t>SOBERANIA Y SEGURIDAD ALIMENTARIA Y NUTRICIONAL</t>
  </si>
  <si>
    <t>PLAN DE DESARROLLO</t>
  </si>
  <si>
    <t>plandedesarrollo@narino.gov.co</t>
  </si>
  <si>
    <t>PLAN DE ORDENAMIENTO</t>
  </si>
  <si>
    <t>TERRITORIAL</t>
  </si>
  <si>
    <t>potnarino@narino.gov.co</t>
  </si>
  <si>
    <t>PLANEACION</t>
  </si>
  <si>
    <t>planeacionsed@narino.gov.co</t>
  </si>
  <si>
    <t>PLANEACION -</t>
  </si>
  <si>
    <t>planeacion@narino.gov.co</t>
  </si>
  <si>
    <t>sandraburgos@narino.gov.co</t>
  </si>
  <si>
    <t>PLINIO</t>
  </si>
  <si>
    <t>PEREZ MORA</t>
  </si>
  <si>
    <t>plinioperez@narino.gov.co</t>
  </si>
  <si>
    <t>PRENSA</t>
  </si>
  <si>
    <t>COMUNICACIONES</t>
  </si>
  <si>
    <t>prensaycomunicaciones@narino.gov.co</t>
  </si>
  <si>
    <t>prensa@narino.gov.co</t>
  </si>
  <si>
    <t>PRESTACIONES SOCIALES</t>
  </si>
  <si>
    <t>prestacionessocialessed@narino.gov.co</t>
  </si>
  <si>
    <t>presupuestopagovirtual@narino.gov.co</t>
  </si>
  <si>
    <t>PREVENCION Y</t>
  </si>
  <si>
    <t>ASISTENCIA - DDHH</t>
  </si>
  <si>
    <t>prevencionyasistencia@narino.gov.co</t>
  </si>
  <si>
    <t>PROCESOS</t>
  </si>
  <si>
    <t>procesostransito@narino.gov.co</t>
  </si>
  <si>
    <t>SUBSECRETARIA DE TRANSTIO Y TRANSPORTE</t>
  </si>
  <si>
    <t>PROYECTO CATALUÑA -</t>
  </si>
  <si>
    <t>FASE II</t>
  </si>
  <si>
    <t>proyectocataluna@narino.gov.co</t>
  </si>
  <si>
    <t>PROYECTO DE SANEAMIENTO</t>
  </si>
  <si>
    <t>CONTABLE</t>
  </si>
  <si>
    <t>depuracion.contable@narino.gov.co</t>
  </si>
  <si>
    <t>PUBLICACION DE PROCESOS -</t>
  </si>
  <si>
    <t>ORTIZ NAVARRO</t>
  </si>
  <si>
    <t>raulortiz@narino.gov.co</t>
  </si>
  <si>
    <t>RECREACION Y DEPORTE</t>
  </si>
  <si>
    <t>recreacionydeporte@narino.gov.co</t>
  </si>
  <si>
    <t>RECURSOS HUMANOS</t>
  </si>
  <si>
    <t>recursoshumanossed@narino.gov.co</t>
  </si>
  <si>
    <t>RENTAS CONTRAVENCIONALES -</t>
  </si>
  <si>
    <t>rentascontravencionales@narino.gov.co</t>
  </si>
  <si>
    <t>REPARACION INTEGRAL</t>
  </si>
  <si>
    <t>reparacionintegral@narino.gov.co</t>
  </si>
  <si>
    <t>RESTITUCION</t>
  </si>
  <si>
    <t>DE TIERRAS</t>
  </si>
  <si>
    <t>restituciondetierras@narino.gov.co</t>
  </si>
  <si>
    <t>RICARDO ANDRES</t>
  </si>
  <si>
    <t>AGUIRRE TOBAR</t>
  </si>
  <si>
    <t>andresaguirre@narino.gov.co</t>
  </si>
  <si>
    <t>MUÑOZ DELGADO</t>
  </si>
  <si>
    <t>ricardomunoz@narino.gov.co</t>
  </si>
  <si>
    <t>RIGOBERTO</t>
  </si>
  <si>
    <t>JURADO PANTOJA</t>
  </si>
  <si>
    <t>rigobertojurado@narino.gov.co</t>
  </si>
  <si>
    <t>COBERTURA</t>
  </si>
  <si>
    <t>RITHA</t>
  </si>
  <si>
    <t>RODRIGUEZ DE LA ROSA</t>
  </si>
  <si>
    <t>ritarodriguez@narino.gov.co</t>
  </si>
  <si>
    <t>OFICINA CONTROL INTERNO GESTION</t>
  </si>
  <si>
    <t>RITHA PATRICIA</t>
  </si>
  <si>
    <t>PAZOS RAMOS</t>
  </si>
  <si>
    <t>patriciapazos@narino.gov.co</t>
  </si>
  <si>
    <t>RIVERA MEZA</t>
  </si>
  <si>
    <t>robertrivera@narino.gov.co</t>
  </si>
  <si>
    <t>TESORERÍA - COBRO COACTIVO</t>
  </si>
  <si>
    <t>CUATIN TUTALCHA</t>
  </si>
  <si>
    <t>robertcuatin@narino.gov.co</t>
  </si>
  <si>
    <t>ROBERTO CARLOS</t>
  </si>
  <si>
    <t>BETANCOURT RAMOS</t>
  </si>
  <si>
    <t>robertobetancourt@narino.gov.co</t>
  </si>
  <si>
    <t>RODRIGO DAVID</t>
  </si>
  <si>
    <t>NOGUERA FAJARDO</t>
  </si>
  <si>
    <t>rodrigonoguera@narino.gov.co</t>
  </si>
  <si>
    <t>RONAL ALEXANDER</t>
  </si>
  <si>
    <t>BASTIDAS ORTIZ</t>
  </si>
  <si>
    <t>ronalbastidas@narino.gov.co</t>
  </si>
  <si>
    <t>ROSA BERTHA</t>
  </si>
  <si>
    <t>CANAL CANAL</t>
  </si>
  <si>
    <t>rosacanal@narino.gov.co</t>
  </si>
  <si>
    <t>ROSA MARIA</t>
  </si>
  <si>
    <t>BURGOS HERNANDEZ</t>
  </si>
  <si>
    <t>rosamariaburgos@narino.gov.co</t>
  </si>
  <si>
    <t>ROSALBA DEL ROSARIO</t>
  </si>
  <si>
    <t>VILLARREAL BASTIDAS</t>
  </si>
  <si>
    <t>rosalbavillarreal@narino.gov.co</t>
  </si>
  <si>
    <t>RUTH MELVI</t>
  </si>
  <si>
    <t>GORDILLO HERNANDEZ</t>
  </si>
  <si>
    <t>ruthgordillo@narino.gov.co</t>
  </si>
  <si>
    <t>SALUD OCUPACIONAL -</t>
  </si>
  <si>
    <t>saludocupacional@narino.gov.co</t>
  </si>
  <si>
    <t>SANDRA</t>
  </si>
  <si>
    <t>BURGOS HIDALGO</t>
  </si>
  <si>
    <t>CAMACHO CERON</t>
  </si>
  <si>
    <t>sandracamacho@narino.gov.co</t>
  </si>
  <si>
    <t>MAYA MUNOZ</t>
  </si>
  <si>
    <t>sandramaya@narino.gov.co</t>
  </si>
  <si>
    <t>SANDRA LILIANA</t>
  </si>
  <si>
    <t>BENAVIDES GARCIA</t>
  </si>
  <si>
    <t>sandrabenavides@narino.gov.co</t>
  </si>
  <si>
    <t>GOMEZ TULCAN</t>
  </si>
  <si>
    <t>sandralilianagomez@narino.gov.co</t>
  </si>
  <si>
    <t>GALEANO MARTINEZ</t>
  </si>
  <si>
    <t>sandragaleano@narino.gov.co</t>
  </si>
  <si>
    <t>BELALCAZAR LOPEZ</t>
  </si>
  <si>
    <t>sandrabelalcazar@narino.gov.co</t>
  </si>
  <si>
    <t>SANDRA MILENA</t>
  </si>
  <si>
    <t>LUNA NARVAEZ</t>
  </si>
  <si>
    <t>sandraluna@narino.gov.co</t>
  </si>
  <si>
    <t>SANDRA PATRICIA</t>
  </si>
  <si>
    <t>GOMEZ MARTINEZ</t>
  </si>
  <si>
    <t>sandragomez@narino.gov.co</t>
  </si>
  <si>
    <t>SEBASTIAN</t>
  </si>
  <si>
    <t>ROSERO TORRES</t>
  </si>
  <si>
    <t>sebastianrosero@narino.gov.co</t>
  </si>
  <si>
    <t>SEBASTIAN BLADIMIR</t>
  </si>
  <si>
    <t>DELGADO MARCILLO</t>
  </si>
  <si>
    <t>sebastiandelgado@narino.gov.co</t>
  </si>
  <si>
    <t>DE EDUCACIÓN</t>
  </si>
  <si>
    <t>sednarino@narino.gov.co</t>
  </si>
  <si>
    <t>SECRETARIA DE EQUIDAD DE GENERO</t>
  </si>
  <si>
    <t>E INCLUSION SOCIAL</t>
  </si>
  <si>
    <t>equidaddegeneroeinclusionsocial@narino.gov.co</t>
  </si>
  <si>
    <t>general@narino.gov.co</t>
  </si>
  <si>
    <t>SEGURIDAD VIAL - SUBSECRETARIA</t>
  </si>
  <si>
    <t>DE TRANSITO Y TRANSPORTE</t>
  </si>
  <si>
    <t>seguridadvial@narino.gov.co</t>
  </si>
  <si>
    <t>MUÑOZ CASTILLO</t>
  </si>
  <si>
    <t>sergiomunoz@narino.gov.co</t>
  </si>
  <si>
    <t>SERVICIOS INFORMATICOS</t>
  </si>
  <si>
    <t>serviciosinformaticossed@narino.gov.co</t>
  </si>
  <si>
    <t>SIGEP - SECRETARIA DE</t>
  </si>
  <si>
    <t>EDUCACION</t>
  </si>
  <si>
    <t>sigepsednarino@narino.gov.co</t>
  </si>
  <si>
    <t>SILVANA VANESSA</t>
  </si>
  <si>
    <t>GUERRERO GARCIA</t>
  </si>
  <si>
    <t>silvanaguerrero@narino.gov.co</t>
  </si>
  <si>
    <t>AMAGUANA BURBANO</t>
  </si>
  <si>
    <t>silviamaguana@narino.gov.co</t>
  </si>
  <si>
    <t>PATINO PORTILLA</t>
  </si>
  <si>
    <t>silviopatino@narino.gov.co</t>
  </si>
  <si>
    <t>SISTEMAS</t>
  </si>
  <si>
    <t>sistemas@narino.gov.co</t>
  </si>
  <si>
    <t>SITUR</t>
  </si>
  <si>
    <t>situr@narino.gov.co</t>
  </si>
  <si>
    <t>- GOBERNACIÓN DE NARIÑO</t>
  </si>
  <si>
    <t>ssan@narino.gov.co</t>
  </si>
  <si>
    <t>DESPACHO DEL GOBERNADOR - PROGRAMA DE SOBERANÍA SEGURIDAD ALIMENTARÍA Y NUTRICIONAL</t>
  </si>
  <si>
    <t>SONIA MARICEL</t>
  </si>
  <si>
    <t>MORALES AYALA</t>
  </si>
  <si>
    <t>soniamorales@narino.gov.co</t>
  </si>
  <si>
    <t>CABEZAS MORA</t>
  </si>
  <si>
    <t>soniacabezas@narino.gov.co</t>
  </si>
  <si>
    <t>LASSO MEDINA</t>
  </si>
  <si>
    <t>sonialasso@narino.gov.co</t>
  </si>
  <si>
    <t>SOPORTE</t>
  </si>
  <si>
    <t>TIC</t>
  </si>
  <si>
    <t>soportetic@narino.gov.co</t>
  </si>
  <si>
    <t>TORRES YELA</t>
  </si>
  <si>
    <t>stellatorresyela@narino.gov.co</t>
  </si>
  <si>
    <t>STELLA JACQUELINE</t>
  </si>
  <si>
    <t>MESIAS MORENO</t>
  </si>
  <si>
    <t>stellamesias@narino.gov.co</t>
  </si>
  <si>
    <t>STEPHANY ANDREA</t>
  </si>
  <si>
    <t>INSUASTY CORDOBA</t>
  </si>
  <si>
    <t>andreainsuasty@narino.gov.co</t>
  </si>
  <si>
    <t>SUBDIRECCION ADMINISTRATIVA</t>
  </si>
  <si>
    <t>subdirecciondac@narino.gov.co</t>
  </si>
  <si>
    <t>SUBSECRETARIA DE</t>
  </si>
  <si>
    <t>ASISTENCIA TECNICA</t>
  </si>
  <si>
    <t>asistenciatecnica@narino.gov.co</t>
  </si>
  <si>
    <t>Dependencia</t>
  </si>
  <si>
    <t>Subsecretaria de Asistencia Técnica - Planeación</t>
  </si>
  <si>
    <t>GESTION PUBLICA</t>
  </si>
  <si>
    <t>gestionpublica@narino.gov.co</t>
  </si>
  <si>
    <t>SUBSECRETARIA DE GESTION AMBIENTAL</t>
  </si>
  <si>
    <t>Y CRECIMIENTO VERDE</t>
  </si>
  <si>
    <t>subsecgestionambiental@narino.gov.co</t>
  </si>
  <si>
    <t>SUBSECRETARIA DE PAZ Y DERECHOS</t>
  </si>
  <si>
    <t>HUMANOS</t>
  </si>
  <si>
    <t>pazyddhh@narino.gov.co</t>
  </si>
  <si>
    <t>SUPERVISION DE CONTRATOS</t>
  </si>
  <si>
    <t>supervision@narino.gov.co</t>
  </si>
  <si>
    <t>Departamento Administrativo de Contratación</t>
  </si>
  <si>
    <t>SYLVIA ALEXANDRA</t>
  </si>
  <si>
    <t>RENGIFO MUÑOZ</t>
  </si>
  <si>
    <t>sylviarengifo@narino.gov.co</t>
  </si>
  <si>
    <t>TALENTO HUMANO -</t>
  </si>
  <si>
    <t>talentohumano@narino.gov.co</t>
  </si>
  <si>
    <t>TANIA MARITZA</t>
  </si>
  <si>
    <t>BURBANO PUPIALES</t>
  </si>
  <si>
    <t>taniaburbano@narino.gov.co</t>
  </si>
  <si>
    <t>TANIA PATRICIA</t>
  </si>
  <si>
    <t>MUÑOZ BOLAÑOS</t>
  </si>
  <si>
    <t>taniamunoz@narino.gov.co</t>
  </si>
  <si>
    <t>JUDICANTE</t>
  </si>
  <si>
    <t>TANNIA JANNETH</t>
  </si>
  <si>
    <t>CHAVES CAICEDO</t>
  </si>
  <si>
    <t>tanniachaves@narino.gov.co</t>
  </si>
  <si>
    <t>TERESA DE JESUS</t>
  </si>
  <si>
    <t>NARVAEZ NARVAEZ</t>
  </si>
  <si>
    <t>teresanarvaez@narino.gov.co</t>
  </si>
  <si>
    <t>tesoreriapagovirtual@narino.gov.co</t>
  </si>
  <si>
    <t>SECRETARIA DE HACIENDA TESORERIA</t>
  </si>
  <si>
    <t>TESORERIA -</t>
  </si>
  <si>
    <t>tesoreria@narino.gov.co</t>
  </si>
  <si>
    <t>TIC -</t>
  </si>
  <si>
    <t>tic@narino.gov.co</t>
  </si>
  <si>
    <t>TRAMITES TRANSITO -</t>
  </si>
  <si>
    <t>tramitestransito@narino.gov.co</t>
  </si>
  <si>
    <t>TRANSITO -</t>
  </si>
  <si>
    <t>transito@narino.gov.co</t>
  </si>
  <si>
    <t>TRANSITO DEPARTAMENTAL</t>
  </si>
  <si>
    <t>- SEDE IMUES</t>
  </si>
  <si>
    <t>imues.sede@narino.gov.co</t>
  </si>
  <si>
    <t>- SEDE SANDONA</t>
  </si>
  <si>
    <t>sandona.sede@narino.gov.co</t>
  </si>
  <si>
    <t>- SEDE LA UNION</t>
  </si>
  <si>
    <t>launion.sede@narino.gov.co</t>
  </si>
  <si>
    <t>- SEDE SAMANIEGO</t>
  </si>
  <si>
    <t>samaniego.sede@narino.gov.co</t>
  </si>
  <si>
    <t>- SEDE GUACHUCAL</t>
  </si>
  <si>
    <t>guachucal.sede@narino.gov.co</t>
  </si>
  <si>
    <t>- SEDE PUPIALES</t>
  </si>
  <si>
    <t>pupiales.sede@narino.gov.co</t>
  </si>
  <si>
    <t>- SEDE BUESACO</t>
  </si>
  <si>
    <t>buesaco.sede@narino.gov.co</t>
  </si>
  <si>
    <t>- SEDE TANGUA</t>
  </si>
  <si>
    <t>tangua.sede@narino.gov.co</t>
  </si>
  <si>
    <t>TURISMO</t>
  </si>
  <si>
    <t>ROSAS MUÑOZ</t>
  </si>
  <si>
    <t>tyronerosas@narino.gov.co</t>
  </si>
  <si>
    <t>VIA JUNIN - BARBACOAS</t>
  </si>
  <si>
    <t>viajuninbarbacoas@narino.gov.co</t>
  </si>
  <si>
    <t>UNIDAD ADMINISTRATIVA ESPECIAL PARA LA VIA JUNIN - BARBACOAS</t>
  </si>
  <si>
    <t>VICENTE</t>
  </si>
  <si>
    <t>MENZA VALLEJO</t>
  </si>
  <si>
    <t>vicentemenzavallejo@narino.gov.co</t>
  </si>
  <si>
    <t>PROFESIONAL DE UNIVERSITARIA</t>
  </si>
  <si>
    <t>VERDUGO CUELLAR</t>
  </si>
  <si>
    <t>victorverdugo@narino.gov.co</t>
  </si>
  <si>
    <t>VIVIANA</t>
  </si>
  <si>
    <t>PAZ ARTURO</t>
  </si>
  <si>
    <t>vivianapaz@narino.gov.co</t>
  </si>
  <si>
    <t>SOLARTE SOLARTE</t>
  </si>
  <si>
    <t>vivianasolarte@narino.gov.co</t>
  </si>
  <si>
    <t>WILBER ANDERSON</t>
  </si>
  <si>
    <t>SANTACRUZ MENESES</t>
  </si>
  <si>
    <t>wilbersantacruz@narino.gov.co</t>
  </si>
  <si>
    <t>wilfredorosero@narino.gov.co</t>
  </si>
  <si>
    <t>WILSON</t>
  </si>
  <si>
    <t>CEBALLOS DIAZ</t>
  </si>
  <si>
    <t>wilsonceballos@narino.gov.co</t>
  </si>
  <si>
    <t>YALLEN</t>
  </si>
  <si>
    <t>GUERRERO YELA</t>
  </si>
  <si>
    <t>yallenguerrero@narino.gov.co</t>
  </si>
  <si>
    <t>SECRETARIA DE EDUCACION - CALIDAD</t>
  </si>
  <si>
    <t>CALDERON DELGADO</t>
  </si>
  <si>
    <t>yamilecalderon@narino.gov.co</t>
  </si>
  <si>
    <t>YANETH CRISTINA</t>
  </si>
  <si>
    <t>RAMOS MARTINEZ</t>
  </si>
  <si>
    <t>cristinaramos@narino.gov.co</t>
  </si>
  <si>
    <t>YENIFER BANESA</t>
  </si>
  <si>
    <t>AREVALO</t>
  </si>
  <si>
    <t>yeniferarevalo@narino.gov.co</t>
  </si>
  <si>
    <t>YODY VANESSA</t>
  </si>
  <si>
    <t>MORALES ROSERO</t>
  </si>
  <si>
    <t>yodymorales@narino.gov.co</t>
  </si>
  <si>
    <t>YOJAN ESTEBAN</t>
  </si>
  <si>
    <t>SANCHEZ GALLARDO</t>
  </si>
  <si>
    <t>yojansanchez@narino.gov.co</t>
  </si>
  <si>
    <t>YOLANDA DEL SOCORRO</t>
  </si>
  <si>
    <t>BENAVIDES ROSADA</t>
  </si>
  <si>
    <t>yolandabenavides@narino.gov.co</t>
  </si>
  <si>
    <t>YUDI DEL CARMEN</t>
  </si>
  <si>
    <t>ROJAS CHAMORRO</t>
  </si>
  <si>
    <t>yudirojas@narino.gov.co</t>
  </si>
  <si>
    <t>YULI ALEXANDRA</t>
  </si>
  <si>
    <t>SOLARTE ACOSTA</t>
  </si>
  <si>
    <t>yulisolarte@narino.gov.co</t>
  </si>
  <si>
    <t>YULLY PAMELA</t>
  </si>
  <si>
    <t>ORTIZ PANTOJA</t>
  </si>
  <si>
    <t>pamelaortiz@narino.gov.co</t>
  </si>
  <si>
    <t>MUNOZ LASSO</t>
  </si>
  <si>
    <t>zaidamunoz@narino.gov.co</t>
  </si>
  <si>
    <t>RIASCOS MORENO</t>
  </si>
  <si>
    <t>zoniariascos@narino.gov.co</t>
  </si>
  <si>
    <t>JUAN PATRICIO</t>
  </si>
  <si>
    <t>PAZOS RENGIFO</t>
  </si>
  <si>
    <t>juanpazos@narino.gov.co</t>
  </si>
  <si>
    <t>NUMERO CONTRATO</t>
  </si>
  <si>
    <t>FECHA CONTRATO</t>
  </si>
  <si>
    <t>TIPO CONTRATACION</t>
  </si>
  <si>
    <t>TIPO CONTRATO</t>
  </si>
  <si>
    <t>OBJETO</t>
  </si>
  <si>
    <t>FECHA SUSCRIPCION</t>
  </si>
  <si>
    <t>TIPO IDENTIFICACION</t>
  </si>
  <si>
    <t>NUMERO IDENTIFICACION</t>
  </si>
  <si>
    <t>DIGITO DE VERIFICACION</t>
  </si>
  <si>
    <t>NOMBRE CONTRATISTA</t>
  </si>
  <si>
    <t>CUANTIA</t>
  </si>
  <si>
    <t>FECHA LEGALIZACION</t>
  </si>
  <si>
    <t>FECHA TERMINACION</t>
  </si>
  <si>
    <t>ADICIONES</t>
  </si>
  <si>
    <t>VINCULO SECOP</t>
  </si>
  <si>
    <t>Departamento Administrativo Contratacion</t>
  </si>
  <si>
    <t>Contratacion Directa</t>
  </si>
  <si>
    <t>PRESTACION DE SERVICIOS PROFESIONALES</t>
  </si>
  <si>
    <t xml:space="preserve">PRESTACION DE SERVICIOS PROFESIONALES  COMO ABOGADA FRENTE A LOS TRAMITES Y PROCESOS RELACIONADOS CON LA CONTRATACION Y DEMAS ASPECTOS JURIDICOS QUE DEBAN SER ATENDIDOS EN EL DEPARTAMENTO ADMINISTRATIVO DE CONTRATACION DEL DEPARTAMENTO. LO ANTERIOR DE CONFORMIDAD CON LOS DOCUMENTOS DEL PROCESO QUE HACEN PARTE INTEGRAL DEL CONTRATO. </t>
  </si>
  <si>
    <t>2020-01-02</t>
  </si>
  <si>
    <t>Nit de Persona Natural</t>
  </si>
  <si>
    <t>ANGIE CAROLINA SALAS MENA</t>
  </si>
  <si>
    <t xml:space="preserve">PRESTACIóN DE SERVICIOS PROFESIONALES COMO ABOGADO PARA APOYAR LA GESTIóN CONTRACTUAL QUE EL DEPARTAMENTO DE NARIñO EJECUTA A TRAVéS DEL DEPARTAMENTO ADMINISTRATIVO DE CONTRATACIóN Y DEMáS ASPECTOS JURíDICOS QUE DEBAN SER ATENDIDOS POR DICHA DEPENDENCIA. LO ANTERIOR DE CONFORMIDAD CON LOS DOCUMENTOS DEL PROCESO, QUE HACEN PARTE INTEGRAL DEL CONTRATO. </t>
  </si>
  <si>
    <t>JORGE CAMILO RUANO CANCHALA</t>
  </si>
  <si>
    <t>PRESTACION DE SERVICIOS DE APOYO</t>
  </si>
  <si>
    <t>CECILIA PATRICIA MELO RAMIREZ</t>
  </si>
  <si>
    <t xml:space="preserve">PRESTACIóN DE SERVICIOS PROFESIONALES COMO ABOGADA PARA APOYAR LA GESTIóN CONTRACTUAL QUE EL DEPARTAMENTO DE NARIñO EJECUTA A TRAVéS DEL DEPARTAMENTO ADMINISTRATIVO DE CONTRATACIóN Y DEMáS ASPECTOS JURíDICOS QUE DEBAN SER ATENDIDOS POR DICHA DEPENDENCIA. LO ANTERIOR DE CONFORMIDAD CON LOS DOCUMENTOS DEL PROCESO, QUE HACEN PARTE INTEGRAL DEL CONTRATO. </t>
  </si>
  <si>
    <t>DIANA MARCELA CARDENAS QUINTERO</t>
  </si>
  <si>
    <t>MAGDA CRISTINA DELGADO OBANDO</t>
  </si>
  <si>
    <t xml:space="preserve">EL CONTRATISTA SE OBLIGA A PRESTAR SUS SERVICIOS PROFESIONALES COMO ABOGADO APOYANDO LA COORDINACIÓN EN EL PROCEDIMIENTO DE LEGALIZACION FRENTE A LOS TRAMITES Y PROCESOS RELACIONADOS CON LA CONTRATACION Y DEMAS ASPECTOS JURIDICOS ATENDIDOS EN EL DEPARTAMENTO ADMINISTRATIVO DE CONTRATACION </t>
  </si>
  <si>
    <t>HERMEL EFRAIN GUERRERO ENRIQUEZ</t>
  </si>
  <si>
    <t>JHON JAIRO ESCOBAR TERAN</t>
  </si>
  <si>
    <t>Secretaria de Hacienda</t>
  </si>
  <si>
    <t>OSCAR FERNANDO TIMARAN MUÑOZ</t>
  </si>
  <si>
    <t>CARMEN EUGENIA NARVAEZ IMBAQUIN</t>
  </si>
  <si>
    <t>ALVARO HERNAN ORTEGA MENESES</t>
  </si>
  <si>
    <t>FRANCISCO JAVIER TELLO ERIRA</t>
  </si>
  <si>
    <t>CAMILO ANDRES MOLINA ESPAÑA</t>
  </si>
  <si>
    <t>JOSE VICENTE CORDOBA DIAZ</t>
  </si>
  <si>
    <t>EDISON OMAR MENESES MONTERO</t>
  </si>
  <si>
    <t>Nit de Persona Juridica</t>
  </si>
  <si>
    <t>ELIZABETH QUENAN CHAMORRO</t>
  </si>
  <si>
    <t>HAROLD ANDRES ROSERO RAMIREZ</t>
  </si>
  <si>
    <t>Secretaria de Gobierno</t>
  </si>
  <si>
    <t xml:space="preserve">PRESTAR SUS SERVICIOS PROFESIONALES EN LA SECRETARIA DE GOBIERNO DEPARTAMENTAL PARA LA ESTRUCTURACION  Y ARTICULACION DE PROGRAMAS Y PROYECTOS DE LOS DISTINTOS COMPNENTES QUE DEBA SUPERVISAR Y  O LIDERAR EL SECRETARIO DE GOBIERNO. LO ANTERIOR DE CONFORMIDAD CON LOS DOCUMENTOS DEL PROCESO QUE HACEN PARTE INTEGRAL DEL CONTRATO </t>
  </si>
  <si>
    <t>KELLY DANIELA RODRIGUEZ CASTRO</t>
  </si>
  <si>
    <t>Secretaria General</t>
  </si>
  <si>
    <t>2020-02-03</t>
  </si>
  <si>
    <t>2020-08-31</t>
  </si>
  <si>
    <t>YULLY PAMELA ORTIZ PANTOJA</t>
  </si>
  <si>
    <t>SANDRA MILENA LUNA NARVAEZ</t>
  </si>
  <si>
    <t>LUZ ARIANA CABRERA ORTIZ</t>
  </si>
  <si>
    <t>TANIA MARITZA BURBANO PUPIALES</t>
  </si>
  <si>
    <t>JUAN CARLOS AVILA MONCAYO</t>
  </si>
  <si>
    <t>Secretaria de Planeacion</t>
  </si>
  <si>
    <t xml:space="preserve">PRESTACIóN DE SERVICIOS PROFESIONALES COMO APOYO A LA COORDINACIóN EN LOS TRAMITES Y PROCESOS DE FORMULACIóN, REVISIóN, SEGUIMIENTO, MONITOREO Y CONTROL  DE PROYECTOS FINANCIADOS O QUE SE PRETENDAN FINANCIAR CON RECURSOS DEL SISTEMA GENERAL DE REGALíAS  APROBADOS AL DEPARTAMENTO DE NARIñO POR EL óRGANO COLEGIADO DE ADMINISTRACIóN Y DECISIóN  OCAD REGIóN PACIFICO. LO ANTERIOR DE CONFORMIDAD CON LOS DOCUMENTOS DEL PROCESO QUE HACEN PARTE INTEGRAL DEL CONTRATO </t>
  </si>
  <si>
    <t>HERMES FERNANDO LATORRE CALVACHE</t>
  </si>
  <si>
    <t>2020-02-13</t>
  </si>
  <si>
    <t>2020-09-01</t>
  </si>
  <si>
    <t>[{"fecha_suscripcion'":"2020-08-31","fecha_legalizacion":"2020-09-28","tipo Adicion":"Tiempo","valor":"0","tiempo":"29-"}]</t>
  </si>
  <si>
    <t>https://www.contratos.gov.co/consultas/detalleProceso.do?numConstancia=20-12-10459941</t>
  </si>
  <si>
    <t xml:space="preserve">EL CONTRATISTA SE COMPROMETE, CON EL DEPARTAMENTO A PRESTAR SUS SERVICIOS PROFESIONALES PARA EL APOYO A LA GESTIóN ADMINISTRATIVA EN LA SECRETARíA DE PLANEACIóN DEL DEPARTAMENTO, FRENTE A TRáMITES Y PROCESOS QUE DEBAN SER ATENDIDOS EN EL áREA DE DESEMPEñO. LO ANTERIOR DE CONFORMIDAD CON LOS DOCUMENTOS DEL PROCESO, QUE HACEN PARTE INTEGRAL DEL CONTRATO </t>
  </si>
  <si>
    <t>LUIS CARLOS ENRIQUEZ ESTADA</t>
  </si>
  <si>
    <t>2020-02-14</t>
  </si>
  <si>
    <t>2020-09-02</t>
  </si>
  <si>
    <t>https://www.contratos.gov.co/consultas/detalleProceso.do?numConstancia=20-12-10464339</t>
  </si>
  <si>
    <t>ANGELA MARIA YELA ESCOBAR</t>
  </si>
  <si>
    <t>JUAN PATRICIO PAZOS RENGIFO</t>
  </si>
  <si>
    <t xml:space="preserve">PRESTAR, POR SUS PROPIOS MEDIOS, CON PLENA AUTONOMíA TéCNICA Y ADMINISTRATIVA, SUS SERVICIOS PROFESIONALES PARA EL APOYO EN EL FORTALECIMIENTO DEL BANCO DE PROYECTOS DE INVERSIóN DEL DEPARTAMENTO DE NARIñO Y LA RED DE BANCO DE INVERSIóN MUNICIPAL LO ANTERIOR DE CONFORMIDAD CON LOS DOCUMENTOS DEL PROCESO, QUE HACEN PARTE INTEGRAL DEL CONTRATO </t>
  </si>
  <si>
    <t>HERNAN JAVIER CABRERA MARTINEZ</t>
  </si>
  <si>
    <t>Despacho del Gobernador</t>
  </si>
  <si>
    <t>MARIA FERNANDA ROJAS MERA</t>
  </si>
  <si>
    <t xml:space="preserve">EL CONTRATISTA SE OBLIGA CON EL DEPARTAMENTO A PRESTAR SUS SERVICIOS PROFESIONALES, PARA APOYAR EL  DESARROLLO DE ACTIVIDADES DE DISEñO  GRáFICO Y ANIMACIóN,  QUE  CONTRIBUYAN  A UNIFICAR CRITERIOS Y FORTALECER LA CAPACIDAD DE PRODUCCIóN GRáFICA EN EL CONTEXTO DEL PROYECTO COMUNICATIVO DE PRENSA Y COMUNICACIONES DE LA GOBERNACIóN DE NARIñO. </t>
  </si>
  <si>
    <t>JULIAN ESTEBAN MAYA NOGUERA</t>
  </si>
  <si>
    <t>ROSA AMPARO TIMANA ORTIZ</t>
  </si>
  <si>
    <t>MARIO ANDRES ARTURO ROSERO</t>
  </si>
  <si>
    <t>Direccion Administrativa de Gestión del Riesgo</t>
  </si>
  <si>
    <t>GABRIEL EDUARDO OCAÑA AGUIRRE</t>
  </si>
  <si>
    <t>Secretaria de Infraestructura y Minas</t>
  </si>
  <si>
    <t>JAIME ARMANDO DELGADO MENESES</t>
  </si>
  <si>
    <t>EDER ALFREDO SANTACRUZ CORDOBA</t>
  </si>
  <si>
    <t xml:space="preserve">PRESTACION DE SERVICIOS PROFESIONALES  PARA LA ASISTENCIA JURIDICA EN EL EJERCICIO DE  LAS COMPETENCIAS LEGALES Y REGLAMENTARIAS  QUE EL DEPARTAMENTO  DE NARIÑO EJERCE A TRAVES DE LA SECRETARIA DE INFRAESTRUCTURA Y MINAS EN MATERIA DE INFRAESTRUCTURA MINAS Y VIVIENDA PROCESOS DE CONTRATACION PUBLICA Y GESTION PREDIAL  QUE DEBA ADELANTAR ESTA DEPENDENCIA </t>
  </si>
  <si>
    <t>MAURICIO EFREN ROSERO RAMOS</t>
  </si>
  <si>
    <t>RICHARD ALEXANDER ROSERO BOTINA</t>
  </si>
  <si>
    <t>ALIRIO EFRAIN TOBAR BRAVO</t>
  </si>
  <si>
    <t xml:space="preserve">EL CONTRATISTA SE OBLIGA CON EL DEPARTAMENTO A PRESTAR SUS SERVICIOS DE APOYO A LA GESTIóN EN LA SUBSECRETARIA DE RENTAS, EN EL PROCESO DE DETERMINACIóN Y LIQUIDACIóN DE LOS IMPUESTOS DE REGISTRO Y VEHíCULOS AUTOMOTORES EN EL DEPARTAMENTO DE NARIñO Y LAS DEMáS ACTIVIDADES QUE SE DERIVEN DE ESTE. LO ANTERIOR DE CONFORMIDAD CON LOS DOCUMENTOS DEL PROCESO, QUE HACEN PARTE INTEGRAL DEL CONTRATO. </t>
  </si>
  <si>
    <t>CARLOS EDUARDO GUERRERO GOMEZJURADO</t>
  </si>
  <si>
    <t>RONAL ALEXANDER BASTIDAS ORTIZ</t>
  </si>
  <si>
    <t>YUDI DEL CARMEN ROJAS CHAMORRO</t>
  </si>
  <si>
    <t>KAREN AURA CHAVES OBANDO</t>
  </si>
  <si>
    <t>MARIA FERNANDA ERASO GUERRERO</t>
  </si>
  <si>
    <t>JAVIER ORLANDO MESIAS NARVAEZ</t>
  </si>
  <si>
    <t>ANA MARIA ERASO CASTILLO</t>
  </si>
  <si>
    <t>DIANA MERCEDES QUIÑONEZ MEDINA</t>
  </si>
  <si>
    <t>JANETH VIVIANA OTAYA MORENO</t>
  </si>
  <si>
    <t>MARISOL GUIZAMANO MOSQUERA</t>
  </si>
  <si>
    <t xml:space="preserve">PRESTACIóN DE SERVICIOS PARA EL APOYO LOGíSTICO PERMANENTE EN LOS OPERATIVOS DE CONTROL, CAPACITACIONES, CAMPAñAS COMUNICATIVAS, ANáLISIS DE INFORMACIóN QUE SE REALIZAN EN EL DEPARTAMENTO DE NARIñO POR PARTE DE LA SUBSECRETARíA DE RENTAS PARA CONTRARRESTAR EL CONTRABANDO, LA ADULTERACIóN DE PRODUCTOS SUJETOS AL IMPUESTO AL CONSUMO Y EL INGRESO ILEGAL DE COMBUSTIBLES.LO ANTERIOR DE CONFORMIDAD CON LOS DOCUMENTOS DEL PROCESO, QUE HACEN PARTE INTEGRAL DEL CONTRATO. </t>
  </si>
  <si>
    <t>EMILIO NATIVEL MENA CALVACHE</t>
  </si>
  <si>
    <t>NADIA CRISTINA VALLEJO GUERRERO</t>
  </si>
  <si>
    <t>OMAR ARTURO BENAVIDES GUERRERO</t>
  </si>
  <si>
    <t>RUBEN ALIER ALVAREZ BASANTE</t>
  </si>
  <si>
    <t>CRISTHIAN OSWALDO CORDOBA CERON</t>
  </si>
  <si>
    <t>GIOVANNI ALEJANDRO YELA ORBES</t>
  </si>
  <si>
    <t>EDGAR RICARDO PAREDES TORO</t>
  </si>
  <si>
    <t>JUAN ALBERTO ZAMBRANO AVILA</t>
  </si>
  <si>
    <t>JESUS OLMEDO URBANO ORDOÑEZ</t>
  </si>
  <si>
    <t>OLIVIA DEL CARMEN BUESAQUILLO ZUÑIGA</t>
  </si>
  <si>
    <t>Secretaria TIC, Innovacion y Gobierno Abierto</t>
  </si>
  <si>
    <t xml:space="preserve">PRESTACION DE SERVICIOS PROFESIONALES PARA APOYAR LA GESTION CONTRACTUAL QUE EL DEPARTAMENTO DE NARIÑO EJECUTA A TRAVES DE LA SECRETARIA DE TIC INNOVACION Y GOBIERNO ABIERTO Y DEMAS ASPECTOS JURIDICOS QUE DEBAN SER ATENDIDOS POR DICHA DEPENDENCIA. LO ANTERIOR DE CONFORMIDAD CON LOS DOCUMENTOS DEL PROCESO QUE HACEN PARTE INTEGRAL DEL CONTRATO. </t>
  </si>
  <si>
    <t>LUIS ALBERTO ANDRADE LUNA</t>
  </si>
  <si>
    <t>BLADIMIR ALEXANDER BURBANO URBANO</t>
  </si>
  <si>
    <t>ARMANDO ENRIQUE HERNANDEZ ECHEVERRY</t>
  </si>
  <si>
    <t>IVAN EMILIO OCAÑA ORTEGA</t>
  </si>
  <si>
    <t>MARTHA ISABEL DELGADO ESPAÑA</t>
  </si>
  <si>
    <t>SANDRA LILIANA BENAVIDES GARCIA</t>
  </si>
  <si>
    <t>2020-02-04</t>
  </si>
  <si>
    <t>2020-07-02</t>
  </si>
  <si>
    <t>Secretaria de Educacion</t>
  </si>
  <si>
    <t>2020-01-08</t>
  </si>
  <si>
    <t>JANIER AUGUSTO RODRIGUEZ ARTEAGA</t>
  </si>
  <si>
    <t xml:space="preserve">PRESTACION DE SERVICIOS PROFESIONALES COMO ASESORA DEL DEPACHO PARA EL DESARROLLO  INTEGRAL DE LAS REGIONES EN EL DEPARTAMENTO DE NARIÑO. </t>
  </si>
  <si>
    <t>NILZA MARIA PANTOJA AGREDA</t>
  </si>
  <si>
    <t>2020-02-17</t>
  </si>
  <si>
    <t>2020-12-31</t>
  </si>
  <si>
    <t>https://www.contratos.gov.co/consultas/detalleProceso.do?numConstancia=20-12-10464483</t>
  </si>
  <si>
    <t>DIANA CAROLINA CHARFUELAN MORENO</t>
  </si>
  <si>
    <t>JAIRO FERNANDO MARTINEZ MIRANDA</t>
  </si>
  <si>
    <t>2020-01-09</t>
  </si>
  <si>
    <t>JUAN SEBASTIAN SARMIENTO BURBANO</t>
  </si>
  <si>
    <t>2020-02-07</t>
  </si>
  <si>
    <t>JORGE EMILIO LOPEZ PALACIOS</t>
  </si>
  <si>
    <t>2020-02-10</t>
  </si>
  <si>
    <t>Oficina Juridica</t>
  </si>
  <si>
    <t xml:space="preserve">PRESTACION DE SERVICIOS PROFESIONALES COMO ABOGADA APOYANDO A LA OFICINA ASESORA JURÍDICA EN LA AEJECUCION DE TODAS LAS ACTIVIDADES JURIDICAS QUE DEBAN SER ATENDIDAS EN DICHA DEPENDENCIA. </t>
  </si>
  <si>
    <t>JENIFER TATIANA ESCOBAR VELASCO</t>
  </si>
  <si>
    <t>2020-09-08</t>
  </si>
  <si>
    <t>[{"fecha_suscripcion'":"2020-09-08","fecha_legalizacion":"2020-09-24","tipo Adicion":"Tiempo y Valor","valor":"12.840.756,00","tiempo":"114-"}]</t>
  </si>
  <si>
    <t>https://www.contratos.gov.co/consultas/detalleProceso.do?numConstancia=20-12-10434956</t>
  </si>
  <si>
    <t>PRESTACION DE SERVICIOS</t>
  </si>
  <si>
    <t>ANDREA GUERRERO ROSERO</t>
  </si>
  <si>
    <t>WILMA ROCIO PANTOJA AGREDA</t>
  </si>
  <si>
    <t>2020-01-20</t>
  </si>
  <si>
    <t>sin Vinculo</t>
  </si>
  <si>
    <t>2020-07-08</t>
  </si>
  <si>
    <t>2020-07-09</t>
  </si>
  <si>
    <t>Secretaria de Equidad de Genero e Inclusion Social</t>
  </si>
  <si>
    <t>2020-02-05</t>
  </si>
  <si>
    <t>KATHERINE JHULIANA GUERRERO PANTOJA</t>
  </si>
  <si>
    <t>PAULA ANDREA PAZ MARTINEZ</t>
  </si>
  <si>
    <t>RODRIGO DAVID NOGUERA FAJARDO</t>
  </si>
  <si>
    <t>GINO GEOVANY REVELO CERON</t>
  </si>
  <si>
    <t>JOHN ALEXANDER OBANDO BENAVIDES</t>
  </si>
  <si>
    <t>JUAN CARLOS LASSO IBARRA</t>
  </si>
  <si>
    <t>JOHN GILMER MUESES ROSERO</t>
  </si>
  <si>
    <t>YODY VANESSA MORALES ROSERO</t>
  </si>
  <si>
    <t>JUAN PABLO MORA CALVACHE</t>
  </si>
  <si>
    <t>CONCHA GLADIS CORAL RIVERA</t>
  </si>
  <si>
    <t>2020-02-06</t>
  </si>
  <si>
    <t>JULIA ANDREA BURBANO DELGADO</t>
  </si>
  <si>
    <t>ROSA NUVIA TOBAR</t>
  </si>
  <si>
    <t>MARIA FLORICELVA LOPEZ CASTRO</t>
  </si>
  <si>
    <t>ELIZABETH ADRIANA ENRIQUEZ ORBES</t>
  </si>
  <si>
    <t>MARIA MERCEDES LOPEZ HERNANDEZ</t>
  </si>
  <si>
    <t xml:space="preserve">PRESTACIÓN DE SERVICIOS PROFESIONALES CON EL FIN DE BRINDAR APOYO ADMINISTRATIVO A LAS ACTIVIDADES QUE ADELANTA LA SUBSECRETARIA ADMINISTRATIVA ASÍ COMO TAMBIÉN APOYAR LA SUPERVISOR DE CONTRATOS Y CONVENIOS QUE EJECUTA ESTA DEPENDENCIA DE LA GOBERNACIÓN DE NARIÑO. </t>
  </si>
  <si>
    <t>AMANDA ALICIA BENAVIDES GARZON</t>
  </si>
  <si>
    <t>2020-02-21</t>
  </si>
  <si>
    <t>[{"fecha_suscripcion'":"2020-04-12","fecha_legalizacion":"2020-04-23","tipo Adicion":"otra","valor":"0","tiempo":"otra-"}]</t>
  </si>
  <si>
    <t>https://www.contratos.gov.co/consultas/detalleProceso.do?numConstancia=20-12-10498471</t>
  </si>
  <si>
    <t>Secretaria de Agricultura y Desarrollo Rural</t>
  </si>
  <si>
    <t xml:space="preserve">PRESTACIóN DE SERVICIOS PROFESIONALES COMO INGENIERO EN PRODUCCIóN ACUICOLA PARA APOYAR LA GESTIóN, DESARROLLO Y SEGUIMIENTO DE ACCIONES Y PROYECTOS PARA FORTALECER LAS CADENAS PRODUCTIVAS Y SISTEMAS PRODUCTIVOS DEL DEPARTAMENTO DE NARIñO </t>
  </si>
  <si>
    <t>EDY PATRICIO ORTEGA FONSECA</t>
  </si>
  <si>
    <t>2020-02-19</t>
  </si>
  <si>
    <t>https://www.contratos.gov.co/consultas/detalleProceso.do?numConstancia=20-12-10490396</t>
  </si>
  <si>
    <t xml:space="preserve">PRESTACIóN DE SERVICIOS PROFESIONALES COMO ZOOTECNISTA PARA APOYAR LA GESTIóN, IMPLEMENTACIóN, EJECUCIóN Y FORMULACIóN DE PROYECTOS DE INVERSION DEL SECTOR AGROPECUARIO A CARGO DE LA SECRETAROIA DE AGRICULTURA Y DESARROLLO RURAL </t>
  </si>
  <si>
    <t>DIANA MILENA DAVID MARTINEZ</t>
  </si>
  <si>
    <t>https://www.contratos.gov.co/consultas/detalleProceso.do?numConstancia=20-12-10491431</t>
  </si>
  <si>
    <t xml:space="preserve">PRESTACIóN DE SERVICIOS PROFESIONALES COMO ABOGADA PARA LA SECRETARIA DE AGRICULTURA Y DESARROLLO RURAL </t>
  </si>
  <si>
    <t>DIANA MARIA SOLARTE JIMENEZ</t>
  </si>
  <si>
    <t>https://www.contratos.gov.co/consultas/detalleProceso.do?numConstancia=20-12-10521266</t>
  </si>
  <si>
    <t>JUAN CARLOS MORILLO ORTEGA</t>
  </si>
  <si>
    <t>Direccion Administrativa de Cultura</t>
  </si>
  <si>
    <t>MARIA CAMILA SEGOVIA CAICEDO</t>
  </si>
  <si>
    <t>ANDREA LORENA BASTIDAS BENAVIDES</t>
  </si>
  <si>
    <t>LADY ALEXANDRA MONTENEGRO CORAL</t>
  </si>
  <si>
    <t>2020-02-12</t>
  </si>
  <si>
    <t>CATHERINE ELIZABETH LOPEZ PABON</t>
  </si>
  <si>
    <t>2020-02-11</t>
  </si>
  <si>
    <t>DIANA CRISTINA GUERRERO GUERRERO</t>
  </si>
  <si>
    <t>STEPHANIA SANCHEZ MORA</t>
  </si>
  <si>
    <t>DIEGO ARMANDO TORO MELO</t>
  </si>
  <si>
    <t>2020-07-13</t>
  </si>
  <si>
    <t>Secretaria de Recreacion y Deportes</t>
  </si>
  <si>
    <t xml:space="preserve">EL CONTRATISTA DEBE PRESTAR POR SUS PROPIOS MEDIOS, CON PLENA AUTONOMíA TéCNICA Y ADMINISTRATIVA, SUS SERVICIOS PROFESIONALES COMO ABOGADO DE LA SECRETARíA DE RECREACIóN Y DEPORTE DEL DEPARTAMENTO DE NARIñO, PARA ATENDER TODOS LOS ASUNTOS RELACIONADOS CON LOS PROCESOS DE CONTRATACIóN, ASí COMO LAS DEMÁS ACTUACIONES JURíDICOS ENCOMENDADAS A DICHA DEPENDENCIA. </t>
  </si>
  <si>
    <t>2020-01-14</t>
  </si>
  <si>
    <t>PAULO ESTEBAN GUEVARA TRUJILLO</t>
  </si>
  <si>
    <t>2020-09-13</t>
  </si>
  <si>
    <t>https://www.contratos.gov.co/consultas/detalleProceso.do?numConstancia=20-12-10440893</t>
  </si>
  <si>
    <t xml:space="preserve">EL CONTRATISTA DEBE PRESTAR POR SUS PROPIOS MEDIOS, CON PLENA AUTONOMíA TéCNICA Y ADMINISTRATIVA, SUS SERVICIOS PROFESIONALES COMO CONTADOR PÚBLICO PARA LA EJECUCION DE LOS RECURSOS ECONÓMICOS DE LA SECRETARÍA DE RECREACIÓN Y DEPORTE DEL DEPARTAMENTO DE NARIÑO ATENDIENDO TODOS LOS ASUNTOS RELACIONADOS CON LA ASESORÍA FINANCIERA Y CONTABLE DE ESTA DEPENDENCIA. </t>
  </si>
  <si>
    <t>LORENA MELISA ORTIZ DIAZ</t>
  </si>
  <si>
    <t>https://www.contratos.gov.co/consultas/detalleProceso.do?numConstancia=20-12-10441000</t>
  </si>
  <si>
    <t xml:space="preserve">EL CONTRATISTA DEBE PRESTAR POR SUS PROPIOS MEDIOS CON PLENA AUTONOMIA TECNICA Y ADMINISTRATIVA SUS SERVICIOS COMO TECNOLOGA A LOS PROGRAMAS DEPORTIVOS Y RECREATIVOS QUE SE ADELANTAN EN LA SECRETARIA DE RECREACION Y DEPORTE </t>
  </si>
  <si>
    <t>2020-01-15</t>
  </si>
  <si>
    <t>LORENA JANETH DORADO SAPUYES</t>
  </si>
  <si>
    <t>2020-09-14</t>
  </si>
  <si>
    <t>https://www.contratos.gov.co/consultas/detalleProceso.do?numConstancia=20-12-10459694</t>
  </si>
  <si>
    <t xml:space="preserve">EL CONTRATISTA DEBE PRESTAR POR SUS PROPIOS MEDIOS, CON PLENA AUTONOMíA TéCNICA Y ADMINISTRATIVA,APOYO A LAS ACTIVIDADES DE ASEO GENERAL EN EL COLISEO ÁLVARO ZARAMA MEDINA ( COLISEO SUR ORIENTALES) </t>
  </si>
  <si>
    <t>DAYRA CRISTINA VALENCIA RIASCOS</t>
  </si>
  <si>
    <t>https://www.contratos.gov.co/consultas/detalleProceso.do?numConstancia=20-12-10458963</t>
  </si>
  <si>
    <t xml:space="preserve">EL CONTRATISTA SE OBLIGA A PRESTAR SUS SERVICIOS PROFESIONALES COMO ABOGADO PARA APOYAR LA GESTIÓN CONTRACTUAL QUE EL DEPARTAMENTO DE NARIÑO EJECUTA A TRAVÉS DE LA SECRETARIA GENERAL Y DEMÁS ASPECTOS JURÍDICOS QUE DEBAN SER ATENDIDOS POR ESTA DEPENDENCIA. </t>
  </si>
  <si>
    <t>2020-01-16</t>
  </si>
  <si>
    <t>CRISTIAN ALEXANDER ROSERO HERNANDEZ</t>
  </si>
  <si>
    <t>2020-02-20</t>
  </si>
  <si>
    <t>https://www.contratos.gov.co/consultas/detalleProceso.do?numConstancia=20-12-10521371</t>
  </si>
  <si>
    <t>2020-07-16</t>
  </si>
  <si>
    <t>Oficina de Control Interno Disciplinario</t>
  </si>
  <si>
    <t xml:space="preserve">LA CONTRATISTA SE OBLIGA A PRESTAR SUS SERVICIOS PROFESIONALES COMO ABOGADA EN LA OFICINA DE CONTROL INTERNO DISCIPLINARIO DE LA GOBERNACION DE NARIÑO CON IDONEIDAD Y CAPACIDAD SIGUIENDO LOS REQUERIMIENTOS Y DISPOSICIONES NORMATIVAS EN LA SUSTANCIACION Y TRAMITE DE LAS ACTUACIONES PROCESALES QUE SE ADELANTE EN LA OFICINA APLICANDO AS DISPOSICIONES CONSTITUCIONALES Y LEGALES </t>
  </si>
  <si>
    <t>2020-07-15</t>
  </si>
  <si>
    <t>EDGAR MAURICIO IBARRA PERDOMO</t>
  </si>
  <si>
    <t>CIELO SILVANA ARCOS DíAZ</t>
  </si>
  <si>
    <t>2020-09-16</t>
  </si>
  <si>
    <t>[{"fecha_suscripcion'":"2020-09-16","fecha_legalizacion":"2020-10-08","tipo Adicion":"Tiempo y Valor","valor":"11.464.000,00","tiempo":"101-"}]</t>
  </si>
  <si>
    <t>https://www.contratos.gov.co/consultas/detalleProceso.do?numConstancia=20-12-10437192</t>
  </si>
  <si>
    <t>MARIA DANIELA CHAMORRO BENAVIDES</t>
  </si>
  <si>
    <t>2020-09-15</t>
  </si>
  <si>
    <t>[{"fecha_suscripcion'":"2020-09-15","fecha_legalizacion":"2020-10-09","tipo Adicion":"Tiempo y Valor","valor":"12.038.208,00","tiempo":"107-"}]</t>
  </si>
  <si>
    <t>https://www.contratos.gov.co/consultas/detalleProceso.do?numConstancia=20-12-10455703</t>
  </si>
  <si>
    <t xml:space="preserve">PRESTACION DE SERVICIOS PROFESIONALES COMO DISEÑADORA GRAFICA EN LA PRODUCCION MULTIMEDIA Y EN DISEÑO GRAFICO DE LA SECRETARIA TIC  DE LA GOBERNACION DE NARIÑO. </t>
  </si>
  <si>
    <t>DANIELA NATHALI PEÑAFIEL MORAN</t>
  </si>
  <si>
    <t>https://www.contratos.gov.co/consultas/detalleProceso.do?numConstancia=20-12-10455726</t>
  </si>
  <si>
    <t xml:space="preserve">PRESTACION DE SERVICIOS PROFESIONALES PARA APOYAR LA GESTION CONTRACTUAL QUE EL DEPARTAMENTO DE NARIÑO EJECUTA A TRAVES DE LA SECRETARIA DE TIC  Y DEMAS ASPECTOS JURIDICOS QUE DEBAN SER ATENDIDOS POR DICHA DEPENDENCIA. LO ANTERIOR DE CONFORMIDAD CON LOS DOCUMENTOS DEL PROCESO QUE HACEN PARTE INTEGRAL DEL CONTRATO. </t>
  </si>
  <si>
    <t>LEONARDO FLOREZ BOLAÑOS</t>
  </si>
  <si>
    <t>https://www.contratos.gov.co/consultas/detalleProceso.do?numConstancia=20-12-10455749</t>
  </si>
  <si>
    <t xml:space="preserve">PRESTACION DE SERVICIOS PROFESIONALES PARA DESEMPEÑAR TAREAS DE SISTEMATIZACION Y SEGUIMIENTO DE PROYECTOS DE RECURSOS PROPIOS Y PROGRAMAS QUE ADELANTE LA SECRETARIA TIC </t>
  </si>
  <si>
    <t>INGRIDT FANNY CHAVEZ  BRAVO</t>
  </si>
  <si>
    <t>https://www.contratos.gov.co/consultas/detalleProceso.do?numConstancia=20-12-10465341</t>
  </si>
  <si>
    <t xml:space="preserve">PRESTACION DE SERVICIOS PROFESIONALES COMO INGENIERO DE SISTEMAS EN EL MANTENIMIENTO DE HARDWARE Y SOFTWARE EN LA GOBERNACION DE NARIÑO. LO ANTERIOR DE CONFORMIDAD CON LOS DOCUMENTOS QUE HACEN PARTE INTEGRAL DEL CONTRATO </t>
  </si>
  <si>
    <t>NURY DILVANA TORRES DIAZ</t>
  </si>
  <si>
    <t>https://www.contratos.gov.co/consultas/detalleProceso.do?numConstancia=20-12-10459764</t>
  </si>
  <si>
    <t xml:space="preserve">PRESTACIÓN DE SERVICIOS PROFESIONALES COMO CONTADOR PARA LA TESORERÍA GENERAL DEL DEPARTAMENTO </t>
  </si>
  <si>
    <t>2020-01-17</t>
  </si>
  <si>
    <t>JAIRO ALDEMAR YAQUENO RODRIGUEZ</t>
  </si>
  <si>
    <t>https://www.contratos.gov.co/consultas/detalleProceso.do?numConstancia=20-12-10458797</t>
  </si>
  <si>
    <t>YANETH CRISTINA RAMOS MARTÍNEZ</t>
  </si>
  <si>
    <t>https://www.contratos.gov.co/consultas/detalleProceso.do?numConstancia=20-12-10458630</t>
  </si>
  <si>
    <t>EL CONTRATISTA SE OBLIGA A PRESTAR SUS SERVICIOS PROFESIONALES COMO ABOGADO DE MANERA AUTONOMA E INDEPENDIENTE PARA APOYAR EN LOS TRAMITES Y PROCESOS RELACIONADOS CON CONTRATACION Y DEMAS ASPECTOS JURIDICOS QUE DEBAN SER ATENDIDOS EN LA SECRETARIA DE EQUIDAD Y GENERO DE LA GOBERNACIÓN DE NARIÑO DEL PROYECTO DENOMINADO: PROTECCION DE DERECHOS E INCLUSION SOCIAL DE POBLACION CON DISCAPACIDAD EN EL DEPARTAMENTO DE NARIÑO. LO ANTERIOR DE CONFORMIDAD CON LOS DOCUMENTOS DEL PROCESO QUE HACEN PARTE INTEGRAL DEL CONTRATO.</t>
  </si>
  <si>
    <t>DIEGO FERNANDO QUINTERO ERASO</t>
  </si>
  <si>
    <t>https://www.contratos.gov.co/consultas/detalleProceso.do?numConstancia=20-12-10458346</t>
  </si>
  <si>
    <t xml:space="preserve">EL CONTRATISTA SE  OBLIGA PARA CON EL DEPARTAMENTO A PRESTAR POR SUS PROPIOS MEDIOS CON PLENA AUTONOMIA TECNICA  Y ADMINSTRATIVA SUS SERVICIOS PROFESIONALES COMO ABOGADO PARA APOYAR LA EJECUCION D EL PLAN DE ACCION 2018 DISEÑADO POR LA SECRETARIA  DE EQUIDAD DE GENERO E INCLUSION SOCIAL DE LA GOBERNACION DE NARIÑO  REQUERIDO PARA CUMPLIR CON LOS OBJETIVOS Y METAS ESTABLECIDAS EN EL SUBPROGRAMA   DE EQUIDAD ENTRE LOS GENEROS MUJER. LO ANTERIOR DE CONFORMIDAD CON LA PROPUESTA PRESENTADA Y APROBADA POR EL DEPARTAMENTO  LA CUAL FORMA PARTE INTEGRAL  DEL PRESENTE CONTRATO </t>
  </si>
  <si>
    <t>DALAL YAMILAH MARTINEZ MONTES</t>
  </si>
  <si>
    <t>https://www.contratos.gov.co/consultas/detalleProceso.do?numConstancia=20-12-10458173</t>
  </si>
  <si>
    <t xml:space="preserve">EL CONTRATISTA SE OBLIGA PARA CON EL DEPARTAMENTO A PRESTAR POR SUS PROPIOS MEDIOS MEDIOS CON PLENA AUTONOMIA TECNICA Y ADMINSITRATIVA SUS SERVICIOS PROFESIONALES PARA APOYAR LA EJECUCION  DEL PLAN DE ACCION 2020 DISEÑADO POR LA SECRETARIA DE EQUIDAD DE GENERO E INCLUSION SOCIAL DE LA GOBERNACION DE NARIÑO REQUERIDO PARA CUMPLIR CON LOS OBEJTIVOS Y METAS ESTABLECIDAS EN EL SUBPROGRAMA DE DISCAPACIDAD. LO ANTERIOR DE CONFORMIDAD CON LA PROPUESTA PRESENTADA Y APROBADA POR EL DEPARTAMENTO LA CUAL FORMA PARTE INTEGRAL DEL PRESENTE CONTRATO. </t>
  </si>
  <si>
    <t>WILLIAN OSCAR MARTINEZ PEJENDINO</t>
  </si>
  <si>
    <t>https://www.contratos.gov.co/consultas/detalleProceso.do?numConstancia=20-12-10465707</t>
  </si>
  <si>
    <t>2020-04-16</t>
  </si>
  <si>
    <t>Unidad Administrativa Especial Para La Via Junin Barbacoas</t>
  </si>
  <si>
    <t>ESTEBAN RAFAEL ORTIZ PATIÑO</t>
  </si>
  <si>
    <t>2020-03-16</t>
  </si>
  <si>
    <t xml:space="preserve">EL CONTRATISTA SE OBLIGA PARA CON EL DEPARTAMENTO DE NARIñO A PRESTAR POR SUS PROPIOS MEDIOS, CON PLENA AUTONOMíA TéCNICA Y ADMINISTRATIVA SUS SERVICIOS PROFESIONALES DE ADMINISTRADOR DE EMPRESAS COMO APOYO ADMINISTRATIVO A LA DIRECCIóN ADMINISTRATIVA DE CULTURA DE LA GOBERNACIóN DE NARIñO </t>
  </si>
  <si>
    <t>JHONATTAN ALEXANDER BUCHELI PORTILLA</t>
  </si>
  <si>
    <t>2020-09-20</t>
  </si>
  <si>
    <t>https://www.contratos.gov.co/consultas/detalleProceso.do?numConstancia=20-12-10459901</t>
  </si>
  <si>
    <t>LUIS EDUARDO BURBANO VALLEJO</t>
  </si>
  <si>
    <t>2020-03-19</t>
  </si>
  <si>
    <t>LA CONTRATISTA SE OBLIGA CON EL DEPARTAMENTO A PRESTAR SUS SERVICIOS PROFESIONALES COMO ABOGADA, APOYANDO AL DESPACHO DEL GOBERNADOR DE NARIÑO, EN LA EJECUCION DE LAS ACTIVIDADES JURIDICAS QUE DEBAN SER ATENDIDAS POR DICHA DEPENDENCIA.</t>
  </si>
  <si>
    <t>MARITZA GENITH MUÑOZ SANTACRUZ</t>
  </si>
  <si>
    <t>2020-02-24</t>
  </si>
  <si>
    <t>2020-09-18</t>
  </si>
  <si>
    <t>https://www.contratos.gov.co/consultas/detalleProceso.do?numConstancia=20-12-10504470</t>
  </si>
  <si>
    <t>Secretaria de Ambiente y Desarrollo Sostenible</t>
  </si>
  <si>
    <t xml:space="preserve">PRESTACIÓN DE SERVICIOS PROFESIONALES PARA TRAMITES Y PROCESOS RELACIONADOS CON LA CONTRATACIÓN. TEMAS DE PAGO POR SERVICIOS AMBIENTALES PARA LA CONSERVACIÓN DE RECURSOS HIDRICOS Y DEMÁS ASPECTOS JURÍDICOS QUE DEBAN SER ATENDIDOS EN LA SECRETARIA DE MEDIO AMBIENTE Y DESARROLLO SOSTENIBLE DEL DEPARTAMENTO DE NARIÑO. </t>
  </si>
  <si>
    <t>JOHANA XIMENA INCHIMA URBANO</t>
  </si>
  <si>
    <t>2020-02-18</t>
  </si>
  <si>
    <t>https://www.contratos.gov.co/consultas/detalleProceso.do?numConstancia=20-12-10475684</t>
  </si>
  <si>
    <t>2020-08-19</t>
  </si>
  <si>
    <t xml:space="preserve">PRESTAR SUS SERVICIOS PROFESIONALES COMO ABOGADA A TRAVES DE SUS PROPIOS MEDIOS CON PLENA AUTONOMIA TECNICA ADMINISTRATIVA IDONEIDAD Y CAPACIDAD EN LA DIRECCION ADMINISTRATIVA DE GESTION DEL RIESGO DE DESASTRES DEL DEPARTAMENTO DE NARIÑO. </t>
  </si>
  <si>
    <t>ALICIA VERONICA PAZOS PORTILLO</t>
  </si>
  <si>
    <t>2020-09-19</t>
  </si>
  <si>
    <t>https://www.contratos.gov.co/consultas/detalleProceso.do?numConstancia=20-12-10460052</t>
  </si>
  <si>
    <t xml:space="preserve">PRESTACION DE SERVICIOS PROFESIONALES COMO GEOGRAFO PARA APOYAR EN LAS GETIONES PROPIAS DE LA DIRECCION ADMINISTRATIVA DE GESTION DEL RIESGO DE DESASTRES DEL DEPARTAMENTO DE NARIÑO </t>
  </si>
  <si>
    <t>JULIO CESAR MARTINEZ DEJOY</t>
  </si>
  <si>
    <t>https://www.contratos.gov.co/consultas/detalleProceso.do?numConstancia=20-12-10461794</t>
  </si>
  <si>
    <t xml:space="preserve">PRESTACION DE SERVICIOS PROFESIONALES COMO ADMINISTRADORA DE EMPRESAS PARA APOYAR EN LAS ACTIVIDADES PROPIAS DE LA DIRECCION ADMINISTRATIVA DE GESTION DEL RIESGO DE DESASTRES DEL DEPARTAMENTO DE NARIÑO </t>
  </si>
  <si>
    <t>ROSA MARIA BURGOS HERNANDEZ</t>
  </si>
  <si>
    <t>https://www.contratos.gov.co/consultas/detalleProceso.do?numConstancia=20-12-10461870</t>
  </si>
  <si>
    <t xml:space="preserve">PRESTACION DE SERVICIOS PROFESIONALES COMO ABOGADA  PARA APOYAR LA GESTION CONTRACTUAL QUE EL DEPARTAMENTO DE NARIÑO EJECUTA A TRAVES DEL DAC Y ESPECIALMENTE LOS PROCEDIMIENTOS NECESARIOS TENDIENTES A LA IMPOSICION DE MULTAS DECLARATORIAS DE INCUMPLIMIENTO CADUCIDAD O APLICACION DE CLAUSULAS EXORBITANTES </t>
  </si>
  <si>
    <t>ERIKA JULIANA DIAZ GUALGUAN</t>
  </si>
  <si>
    <t>https://www.contratos.gov.co/consultas/detalleProceso.do?numConstancia=20-12-10490298</t>
  </si>
  <si>
    <t xml:space="preserve">EL CONTRATISTA SE OBLIGA A PRESTAR SUS SERVICOS COMO ABOGADO  APOYANDO  EL PROCEDIMIENTO DE LEGALIZACION FRENTE A LOS TRAMITES Y PROCESOS RELACIONADOS CON LA CONTRATACION Y DEMAS ASPECTOS JURIDICOS QUE DEBAN SER ATENDIDOS POR EL DEPARTAMENTO ADMINSITRATIVO DE CONTRATACION </t>
  </si>
  <si>
    <t>CRISTIAN ALEXANDER RAMOS CORAL</t>
  </si>
  <si>
    <t>https://www.contratos.gov.co/consultas/detalleProceso.do?numConstancia=20-12-10465805</t>
  </si>
  <si>
    <t xml:space="preserve">PRESTACION DE SERVICIOS PROFESIONALES COMO ABOGADA  PARA APOYAR LA GESTION CONTRACTUAL QUE EL DEPARTAMENTO DE NARIÑO EJECUTA A TRAVES DEL DAC Y DEMAS ASPECTOS JURIDICOS QUE DEBAN SER ATENDIDOS EN EL DEPARTAMENTO ADMINISTRATIVO DE CONTRATACION DEL DEPARTAMENTO </t>
  </si>
  <si>
    <t>JHONNY FERNANDO LOPEZ GOMEZ</t>
  </si>
  <si>
    <t>https://www.contratos.gov.co/consultas/detalleProceso.do?numConstancia=20-12-10438214</t>
  </si>
  <si>
    <t xml:space="preserve">CONTRATO DE PRESTACION DE SERVICIOS PROFESIONALES PARA ESTABLECER LOS LINEAMIENTOS PARA LA IMPLEMENTACION  DE LA POLÍTICA  DE ATENCIÓN AL CIUDADANO Y APOYO EN EL LEVANTAMIENTO  SEGUIMIENTO Y EVALUACIÓN  DE LOS PROCESOS Y PROCEDIMIENTOS ADMINISTRATIVOS QUE HACEN PARTE DE LA SECRETARIA GENERAL </t>
  </si>
  <si>
    <t>LEIDY LORENA ESPAÑA APRAEZ</t>
  </si>
  <si>
    <t>https://www.contratos.gov.co/consultas/detalleProceso.do?numConstancia=20-12-10466612</t>
  </si>
  <si>
    <t xml:space="preserve">EL CONTRATISTA SE OBLIGA A PRESTAR SUS SERVICIOS PROFESIONALES PARA APOYAR EN LA SUPERVISION TECNICA Y FINANCIERA DE LOS PROCESOS CONTRACTUALES, LA PROYECCION DE ESTUDIOS DE MERCADO Y EL ACOMPAñAMIENTO DE LOS PROCESOS LOGISTICOS INTERNOS QUE ADELANTA LA SECRETARIA GENERAL DE LA GOBERNACION DE NARIñO. </t>
  </si>
  <si>
    <t>OSCAR ANDRES VELASQUEZ SARASTY</t>
  </si>
  <si>
    <t>https://www.contratos.gov.co/consultas/detalleProceso.do?numConstancia=20-12-10490231</t>
  </si>
  <si>
    <t>LEIDY CAROLINA BENAVIDES VALLEJO</t>
  </si>
  <si>
    <t>JUAN SEBASTIAN LOPEZ MORENO</t>
  </si>
  <si>
    <t>2020-02-28</t>
  </si>
  <si>
    <t>2020-02-27</t>
  </si>
  <si>
    <t>2020-02-25</t>
  </si>
  <si>
    <t>2020-11-27</t>
  </si>
  <si>
    <t>2020-11-30</t>
  </si>
  <si>
    <t>2020-06-01</t>
  </si>
  <si>
    <t>CAROLINA DEL ROSARIO ORTIZ PAZ</t>
  </si>
  <si>
    <t xml:space="preserve">EL CONTRATISTA SE OBLIGA CON EL DEPARTAMENTO A PRESTAR LOS SERVICIOS PROFESIONALES COMO SOCIóLOGO, EN LA UNIDAD ADMINISTRATIVA ESPECIAL PARA LA CONTINUACIóN DE LA PAVIMENTACIóN DE LA VíA JUNíN – BARBACOAS, PARA APOYAR EN EL DESARROLLO DE ACTIVIDADES SOCIO-PREDIALES Y DE SUPERVISóN DE LOS CONTRATISTAS DEL PROYECTO ESTRATéGICO MANTENIMIENTO, REHABILITACIóN Y PAVIMENTACIóN DE LA VíA JUNíN BARBACOAS ENTRE EL K27+000 (BUENAVISTA) Y K55+400 (CABECERA MUNICIPAL DE BARBACOAS Y SUS ACCESOS), DEPARTAMENTO DE NARIñO.  LO ANTERIOR DE CONFORMIDAD CON LOS DOCUMENTOS DEL PROCESO, QUE HACEN PARTE INTEGRAL DEL CONTRATO. </t>
  </si>
  <si>
    <t>JAIRO HERNAN MUNARE GUERRERO</t>
  </si>
  <si>
    <t xml:space="preserve">EL CONTRATISTA SE OBLIGA CON EL DEPARTAMENTO A PRESTAR SUS SERVICIOS PERSONALES DE APOYO A LA GESTIóN COMO TéCNICO EN MECáNICA AUTOMOTRIZ, ESPECIALMENTE EN EL PROCESO REFERENTE AL MANTENIMIENTO ELéCTRICO Y ELECTROMECáNICO PREVENTIVO Y CORRECTIVO DE LA MAQUINARIA Y DE LAS UNIDADES DE TRANSPORTE DEL EJéRCITO NACIONAL EN LA BRIGADA DE CONSTRUCCIONES –UBICADA EN EL MUNICIPIO DE BARBACOAS, PARA LA EJECUCIóN DEL PROYECTO ESTRATéGICO “MANTENIMIENTO, REHABILITACIóN Y PAVIMENTACIóN DE LA VíA JUNíN – BARBACOAS ENTRE EL K27+000 (BUENAVISTA) Y K55+400  ( CABECERA MUNICIPAL DE BARBACOAS Y SUS ACCESOS), DEPARTAMENTO DE NARIñO”, EN EL MARCO DEL CONVENIO INTERADMINISTRATIVO NO. 2178 DE 2013 SUSCRITO ENTRE EL INSTITUTO NACIONAL DE VíAS – INVIAS Y EL DEPARTAMENTO DE NARIñO Y SUS CONVENIOS  DERIVADOS. </t>
  </si>
  <si>
    <t>JHON JAIRO HERRERA RAMIREZ</t>
  </si>
  <si>
    <t xml:space="preserve">EL CONTRATISTA SE OBLIGA CON EL DEPARTAMENTO A PRESTAR SUS SERVICIOS PERSONALES DE APOYO A LA GESTIóN COMO TéCNICO EN ELECTRICIDAD Y ELECTROMECáNICA AUTOMOTRIZ, ESPECIALMENTE EN EL PROCESO REFERENTE AL MANTENIMIENTO ELéCTRICO Y ELECTROMECáNICO PREVENTIVO Y CORRECTIVO DE LA MAQUINARIA Y DE LAS UNIDADES DE TRANSPORTE DEL EJéRCITO NACIONAL EN LA BRIGADA DE CONSTRUCCIONES UBICADA EN EL MUNICIPIO DE BARBACOAS, PARA LA EJECUCIóN DEL PROYECTO ESTRATéGICO “MANTENIMIENTO, REHABILITACIóN Y PAVIMENTACIóN DE LA VíA JUNíN – BARBACOAS ENTRE EL K27+000 (BUENAVISTA) Y K55+400  (CABECERA MUNICIPAL DE BARBACOAS Y SUS ACCESOS), DEPARTAMENTO DE NARIñO”, EN EL MARCO DEL CONVENIO INTERADMINISTRATIVO NO. 2178 DE 2013 SUSCRITO ENTRE EL INSTITUTO NACIONAL DE VíAS – INVIAS Y EL DEPARTAMENTO DE NARIñO Y SUS CONVENIOS  DERIVADOS. </t>
  </si>
  <si>
    <t>FABIAN EDUARDO ROJAS MORENO</t>
  </si>
  <si>
    <t>MARITZA MARTINEZ CRIOLLO</t>
  </si>
  <si>
    <t>LINA DEL CARMEN CABRERA URCUQUI</t>
  </si>
  <si>
    <t>2020-09-30</t>
  </si>
  <si>
    <t>EL CONTRATISTA SE OBLIGA A PRESTAR SUS SERVICIOS PROFESIONALES COMO CONTADOR PúBLICO EN LA SUBSECRETARíA DE PRESUPUESTO DE LA SECRETARíA DE HACIENDA. LO ANTERIOR DE CONFORMIDAD CON LOS DOCUMENTOSDEL PROCESO  QUE HACEN PARTE INTEGRAL DEL CONTRATO.</t>
  </si>
  <si>
    <t>https://www.contratos.gov.co/consultas/detalleProceso.do?numConstancia=20-12-10523201</t>
  </si>
  <si>
    <t xml:space="preserve">EL CONTRATISTA DEBE PRESTAR SUS SERVICIOS DE APOYO A LA GESTION EN EL DEPARTAMENTO ADMINISTRATIVO DE CONTRATACIÓN. LO ANTERIOR DE CONFORMIDAD CON LOS DOCUMENTOS QUE HACEN PARTE INTEGRAL DEL CONTRATO. </t>
  </si>
  <si>
    <t>2020-03-03</t>
  </si>
  <si>
    <t>https://www.contratos.gov.co/consultas/detalleProceso.do?numConstancia=20-12-10550806</t>
  </si>
  <si>
    <t>2020-02-26</t>
  </si>
  <si>
    <t>https://www.contratos.gov.co/consultas/detalleProceso.do?numConstancia=20-12-10521810</t>
  </si>
  <si>
    <t>https://www.contratos.gov.co/consultas/detalleProceso.do?numConstancia=20-12-10492145</t>
  </si>
  <si>
    <t>PRESTACIóN DE SERVICIOS PROFESIONALES COMO ABOGADA PARA APOYAR LA GESTIóN CONTRACTUAL QUE EL DEPARTAMENTO DE NARIñO EJECUTA A TRAVéS DEL DEPARTAMENTO ADMINISTRATIVO DE CONTRATACIóN Y DEMáS ASPECTOS JURíDICOS QUE DEBAN SER ATENDIDOS POR DICHA DEPENDENCIA. LO ANTERIOR DE CONFORMIDAD CON LOS DOCUMENTOS DEL PROCESO, QUE HACEN PARTE INTEGRAL DEL CONTRATO.</t>
  </si>
  <si>
    <t>LUCY ESTEFANIA YEPEZ</t>
  </si>
  <si>
    <t>https://www.contratos.gov.co/consultas/detalleProceso.do?numConstancia=20-12-10504550</t>
  </si>
  <si>
    <t>https://www.contratos.gov.co/consultas/detalleProceso.do?numConstancia=20-12-10495371</t>
  </si>
  <si>
    <t>https://www.contratos.gov.co/consultas/detalleProceso.do?numConstancia=20-12-10492539</t>
  </si>
  <si>
    <t xml:space="preserve">LA CONTRATISTA SE OBLIGA A PRESTAR SUS SERVICIOS PROFESIONALES COMO INGENIERA DE SISTEMAS EN EL PROCESO DE PUBLICACION DE LOS PROCESOS CONTRACTUALES Y DEMÁS ASPECTOS QUE DEBAN SER ATENDIDOS EN EL DEPARTAMENTO ADMINISTRATIVO DE CONTRATACIÓN DEL DEPARTAMENTO DE NARIÑO. LO ANTERIOR DE CONFORMIDAD CON LOS DOCUMENTOS DEL PROCESO QUE HACEN PARTE INTEGRAL DEL CONTRATO. </t>
  </si>
  <si>
    <t>https://www.contratos.gov.co/consultas/detalleProceso.do?numConstancia=20-12-10491561</t>
  </si>
  <si>
    <t>EL CONTRATISTA SE OBLIGA A PRESTAR SUS SERVICIOS PROFESIONALES COMO INGENIERO DE SISTEMAS, EN EL PROCESO DE PUBLICACIÓN DE LOS PROCESOS CONTRACTUALES Y DEMÁS ASPECTOS QUE DEBAN SER ATENDIDOS PARA LA GESTIÓN EN EL DEPARTAMENTO ADMINISTRATIVO DE CONTRATACIÓN DEL DEPARTAMENTO DE NARIÑO. LO ANTERIOR DE CONFORMIDAD CON LOS DOCUMENTOS DEL PROCESO, QUE HACEN PARTE INTEGRAL DEL CONTRATO.</t>
  </si>
  <si>
    <t>ANDRES BOLIVAR SERRANO VILLOTA</t>
  </si>
  <si>
    <t>https://www.contratos.gov.co/consultas/detalleProceso.do?numConstancia=20-12-10502863</t>
  </si>
  <si>
    <t xml:space="preserve">EL CONTRATISTA SE COMPROMETE CON E DEPARTAMENTO A PRESTAR SUS SERVICIOS DE APOYO A LA GESTION PARA ESCANEO DE DOCUMENOS DE LA ETAPA PRECONTRACTUAL CONTRACTUAL Y POS CONTRACTUAL ASI COMO EL APOYO EN LA ORGANIZACION DE ARCHIVO DE LOS EXPEDIENTES CONTRACTUALES PARA ARCHIVOD </t>
  </si>
  <si>
    <t>DANIEL HERNANDO BURBANO REALPE</t>
  </si>
  <si>
    <t>https://www.contratos.gov.co/consultas/detalleProceso.do?numConstancia=20-12-10502020</t>
  </si>
  <si>
    <t>PRESTAR SUS SERVICIOS DE APOYO A LA GESTION PARA ESCANEO DE DOCUMENTOS DE LA ETAPA PRECONTRACTUAL CONTRACTUAL Y POST CONTRACTUAL ASI COMO EL APOYO EN LA ORGANIZACION DE EXPEDIENTES CONTRATUALES PARA ARCHIVO.</t>
  </si>
  <si>
    <t>SONIA MARICEL MORALES AYALA</t>
  </si>
  <si>
    <t>https://www.contratos.gov.co/consultas/detalleProceso.do?numConstancia=20-12-10502411</t>
  </si>
  <si>
    <t>PRESTAR SUS SERVICIOS DE APOYO A LA GESTION PARA EL CARGUE DE INFORMACION CONTRACTUAL EN SECOP I Y SECOP II ASI COMO  EL APOYO EN LA ORGANIZACION DE EXPEDIENTES CONTRACTUALES PARA ARCHIVO</t>
  </si>
  <si>
    <t>CARLOS VILLOTA</t>
  </si>
  <si>
    <t>https://www.contratos.gov.co/consultas/detalleProceso.do?numConstancia=20-12-10502655</t>
  </si>
  <si>
    <t xml:space="preserve">EL CONTRATISTA SE OBLIGA A PRESTAR SUS SERVICIOS PROFESIONALES COMO INGENIERO CIVIL FRENTE A  LOS TRAMITES Y PROCESOS RELACIONADOS CON LA CONTRATACON Y DEMÁS ASPECTOS TÉCNICOS QUE DEBAN SER ATENDIDOS EN EL DEPARTAMENTO ADMINISTRATIVO DE CONTRATACIÓN DEL DEPARTAMENTO. LO ANTERIOR DE CONFORMIDAD CON LOS DOCUMENTOS DEL PROCESO, QUE HACEN PARTE INTEGRAL DEL CONTRATO. </t>
  </si>
  <si>
    <t>LUIS GUILLERMO TORRES ERASO</t>
  </si>
  <si>
    <t>2020-10-02</t>
  </si>
  <si>
    <t>https://www.contratos.gov.co/consultas/detalleProceso.do?numConstancia=20-12-10525630</t>
  </si>
  <si>
    <t xml:space="preserve">PRESTACION DE SERVICIOS PROFESIONALES COMO ABOGADO PARA APOYAR LA GESTION CONTRACTUAL QUE EL DEPARTAMENTO DE NARIÑO EJECUTA A TRAVES DEL DEPARTAMENTO ADMINISTRATIVO DE CONTRATACION Y DEMAS ASPECTOS JURIDICOS QUE DEBAN SER ATENDIDOS POR DICHA DEPENDENCIA. LO ANTERIOR DE CONFORMIDAD CON LOS DOCUMENTOS DEL PROCESO QUE HACEN PARTE INTEGRAL DEL CONTRATO. </t>
  </si>
  <si>
    <t>CARLOS DANIEL BASTIDAS JURADO</t>
  </si>
  <si>
    <t>https://www.contratos.gov.co/consultas/detalleProceso.do?numConstancia=20-12-10504649</t>
  </si>
  <si>
    <t>PRESTACION DE SERVICIOS PROFESIONALES EN LA SECRETARÍA DE AMBIENTE Y DESARROLLO SOSENIBLE  PARA APOYAR  la supervision DE CONTRATOS EN EJECUCION Y DE AQUELLOS QUE LLEAGREN A CONTRATAR PARA EL PROCESO DE LIQUIDACION</t>
  </si>
  <si>
    <t>JAIME ANIBAL VILLOTA MENDEZ</t>
  </si>
  <si>
    <t>2020-03-13</t>
  </si>
  <si>
    <t>2020-10-03</t>
  </si>
  <si>
    <t>https://www.contratos.gov.co/consultas/detalleProceso.do?numConstancia=20-12-10590154</t>
  </si>
  <si>
    <t>2020-08-03</t>
  </si>
  <si>
    <t xml:space="preserve">PRESTACIÓN DE SERVICIOS PROFESIONALES DE ARQUITECTO PARA APOYAR LAS ACCIONES DE REVISIÓN TÉCNICA, VIABILIZACIÓN, SEGUIMIENTO Y CONTROL DE LOS PROYECTOS DE INVERSIÓN QUE EL DEPARTAMENTO DE NARIÑO EJECUTE A TRAVÉS DE LA SECRETARIA DE INFRAESTRUCTURA Y MINAS Y QUE DEBAN SER ATENDIDOS POR DICHA DEPENDENCIA.
</t>
  </si>
  <si>
    <t>CAROLINA ESCANDON CERON</t>
  </si>
  <si>
    <t>https://www.contratos.gov.co/consultas/detalleProceso.do?numConstancia=20-12-10544606</t>
  </si>
  <si>
    <t xml:space="preserve">PRESTACION DE SERVICIOS PROFESIONALES COMO INGENIERA  EN LA SECRETARIA DE INFRAESTRUCTURA Y MINAS DEL DEPARTAMENTO </t>
  </si>
  <si>
    <t>LAURA STEFANIA BARCO CUATINDIOY</t>
  </si>
  <si>
    <t>https://www.contratos.gov.co/consultas/detalleProceso.do?numConstancia=20-12-10525711</t>
  </si>
  <si>
    <t xml:space="preserve">PRESTACIÓN DE SERVICIOS PROFESIONALES DE ARQUITECTO PARA APOYAR LAS ACCIONES DE REVISIÓN TÉCNICA, VIABILIZACIÓN, SEGUIMIENTO Y CONTROL DE LOS PROYECTOS DE INVERSIÓN QUE EL DEPARTAMENTO DE NARIÑO EJECUTE A TRAVÉS DE LA SECRETARIA DE INFRAESTRUCTURA Y MINAS Y QUE DEBAN SER ATENDIDOS POR DICHA DEPENDENCIA. </t>
  </si>
  <si>
    <t>CARLOS ANDRES RUALES ALVEAR</t>
  </si>
  <si>
    <t>https://www.contratos.gov.co/consultas/detalleProceso.do?numConstancia=20-12-10504941</t>
  </si>
  <si>
    <t>PRESTACION DE SERVICIOS DE ARQUITECTA CIVIL PARA APOYAR LAS ACIONES DE REVISION TECNICA, VIABILIZACIÓN, SEGUIMIENTO Y CONTROL DE LOS PROYECTOS DE INVERSION QUE EL DEPARTAMENTO DE NARIÑO EJECUTE A TRAVES DE LA INFRAESTRUCTURA Y MINAS Y QUE DEBAN SER ATENDIDOS POR DICHA DEPENDENCIA.</t>
  </si>
  <si>
    <t>ANABELI OBANDO ARTEAGA</t>
  </si>
  <si>
    <t>https://www.contratos.gov.co/consultas/detalleProceso.do?numConstancia=20-12-10492652</t>
  </si>
  <si>
    <t xml:space="preserve">PRESTACION DE SERVICIOS PROFESIONALES DE ARQUITECTO  PARA APOYAR LAS ACCIONES DE REVISION TECNICA VIABILIZADOS Y CONTROL DE LOS PROYECTOS DE INVERSION QUE EL DEPARTAMENTO DE NARIÑO EJECUTE A TRAVES DE LA INFRAESTRUCTURA Y MINAS Y QUE DEBAN SER ATENDIDOS POR DICHA DEPENDENCIA. </t>
  </si>
  <si>
    <t>https://www.contratos.gov.co/consultas/detalleProceso.do?numConstancia=20-12-10492779</t>
  </si>
  <si>
    <t xml:space="preserve">PRESTACION DE SERVICIOS PROFESIONALES COMO INGENIERA AMBIENTAL EN LA SECRETARIA DE INFRAESTRUCTURA Y MINAS DEL DEPARTAMENTO </t>
  </si>
  <si>
    <t>YOLANDA DEL SOCORRO BENAVIDES ROSADA</t>
  </si>
  <si>
    <t>https://www.contratos.gov.co/consultas/detalleProceso.do?numConstancia=20-12-10467349</t>
  </si>
  <si>
    <t xml:space="preserve">PRESTACION DE SERVICIOS PROFESIONALES DE ARQUITECTO PARA APOYAR LAS ACCIONES DE REVISION TECNICA VIABILIZACION SEGUIMIENTO Y CONTROL DE LOS PROYECTOS DE INVERSION QUE EL DEPARTAMENTO DE NARIÑO EJECUTE A TRAVES DE LA SECRETARIA DE INFRAESTRUCTURA Y MINAS Y QUE DEBAN SER ATENDIDOS POR DICHA DEPENDENCIA.  </t>
  </si>
  <si>
    <t>FERNANDO RICARDO ONOFRE ROJAS</t>
  </si>
  <si>
    <t>https://www.contratos.gov.co/consultas/detalleProceso.do?numConstancia=20-12-10525782</t>
  </si>
  <si>
    <t xml:space="preserve">PRESTACION DE SERVICIOS DE INGENIERIA CIVIL PARA APOYAR LAS ACIONES DE REVISION TECNICA VIABILIZADOS Y CONTROL DE LOS PROYECTOS DE INVERSION QUE EL DEPARTAMENTO DE NARIÑO EJECUTE A TRAVES DE LA INFRAESTRUCTURA Y MINAS Y QUE DEBAN SER ATENDIDOS POR DICHA DEPENDENCIA </t>
  </si>
  <si>
    <t>JUAN ALBERTO BURGOS  FIGUEROA</t>
  </si>
  <si>
    <t>https://www.contratos.gov.co/consultas/detalleProceso.do?numConstancia=20-12-10492942</t>
  </si>
  <si>
    <t>PRESTACION DE SERVICIOS DE INGENIERIA CIVIL PARA APOYAR LAS ACIONES DE REVISION TECNICA, VIABILIZACIÓN, SEGUIMIENTO Y CONTROL DE LOS PROYECTOS DE INVERSION QUE EL DEPARTAMENTO DE NARIÑO EJECUTE A TRAVÉS DE LA INFRAESTRUCTURA Y MINAS Y QUE DEBAN SER ATENDIDOS POR DICHA DEPENDENCIA.</t>
  </si>
  <si>
    <t>https://www.contratos.gov.co/consultas/detalleProceso.do?numConstancia=20-12-10493204</t>
  </si>
  <si>
    <t xml:space="preserve">PRESTACIÓN DE SERVICIOS PROFESIONALES DE INGENIERÍA CIVIL PARA APOYAR LAS ACCIONES DE REVISIÓN TÉCNICA, VIABILIZACIÓN, SEGUIMIENTO Y CONTROL DE LOS PROYECTOS DE INVERSIÓN QUE EL DEPARTAMENTO DE NARIÑO EJECUTE A TRAVÉS DE LA SECRETARIA DE INFRAESTRUCTURA Y MINAS Y QUE DEBAN SER ATENDIDOS POR DICHA DEPENDENCIA.
 </t>
  </si>
  <si>
    <t>MARIO GERMAN BENAVIDES GONZALES</t>
  </si>
  <si>
    <t>2020-03-06</t>
  </si>
  <si>
    <t>https://www.contratos.gov.co/consultas/detalleProceso.do?numConstancia=20-12-10563610</t>
  </si>
  <si>
    <t>PRESTACION DE SERVICIOS PROFESIONALES PARA APOYAR LAS ACCIONES DE FORMUACIÓN DE PROYECTOS REVISIÓN DE DISEÑOS SEGUIMIENTO Y CONTROL DE PROYECTOS DE INVERSIÓN QUE EL DEPARTAMENTO DE NARIÑO EJECUTE A TRAVES DE LA SECRETARIA DE INFRAESTRUCTURA Y MINAS Y QUE DEBAN SER ATENDIDOS POR DICHA DEPENDENCIA.</t>
  </si>
  <si>
    <t>EDGAR ARMANDO MALLAMA NARVAEZ</t>
  </si>
  <si>
    <t>2020-03-05</t>
  </si>
  <si>
    <t>https://www.contratos.gov.co/consultas/detalleProceso.do?numConstancia=20-12-10549378</t>
  </si>
  <si>
    <t xml:space="preserve">PRESTACIÓN DE SERVICIOS PROFESIONALES DE ABOGADA PARA LA ASISTENCIA JURÍDICA EN EL EJERCICIO DE  LAS COMPETENCIAS LEGALES Y REGLAMENTARIAS QUE EL DEPARTAMENTO DE NARIÑO EJERCE A TRAVÉS DE LA SECRETARIA DE INFRAESTRUCTURA Y MINAS EN MATERIA DE INFRAESTRUCTURA, MINAS, VIVIENDA, PROCESOS DE CONTRATACIÓN PUBLICA Y DE GESTIÓN PREDIAL, QUE DEBA ADELANTAR ESTA DEPENDENCIA. </t>
  </si>
  <si>
    <t>LUCIA VIVIANA FOLLECO LOPEZ</t>
  </si>
  <si>
    <t>https://www.contratos.gov.co/consultas/detalleProceso.do?numConstancia=20-12-10504769</t>
  </si>
  <si>
    <t>AURA MARIA HINESTROZA DIAZ DEL CASTILLO</t>
  </si>
  <si>
    <t>https://www.contratos.gov.co/consultas/detalleProceso.do?numConstancia=20-12-10467090</t>
  </si>
  <si>
    <t>2020-03-24</t>
  </si>
  <si>
    <t xml:space="preserve">PRESTACION DE SERVICIOS PROFESIONALES DE ABOGADO PARA LA ASISTENCIA JURIDICA EN EL EJERCICIO DE LAS COMPETENCIAS  LEGALES Y REGLAMENTARIAS QUE EL DEPARTAMENTO DE NARIÑO EJERCE A TRAVES DE LA SECRETARIA DE INFRAESTRUCTURA Y MINAS EN MATERIA DE INFRAESETRUCTURA MINAS VIVIENDA PROCESOS DE CONTRATACION PUBLICA Y GESTION PREDIAL QUE DEBA ADELANTAR ESTA DEPENDENCIA. </t>
  </si>
  <si>
    <t>CARLOS ANDRES ARTEAGA LOPEZ</t>
  </si>
  <si>
    <t>https://www.contratos.gov.co/consultas/detalleProceso.do?numConstancia=20-12-10467659</t>
  </si>
  <si>
    <t>CRISTIAN SANTIAGO IPIAL REINA</t>
  </si>
  <si>
    <t>https://www.contratos.gov.co/consultas/detalleProceso.do?numConstancia=20-12-10498707</t>
  </si>
  <si>
    <t>CONTRATO DE PRESTACIÓN DE SERVICIOS PROFESIONALES COMO ADMINISTRADORA DE EMPRESAS EN LA SECRETARIA DE INFRAESTRUCTURA Y MINAS DEL DEPARTAMENTO DE NARIÑO.</t>
  </si>
  <si>
    <t>AIDA ROSA GIRALDO GUERRERO</t>
  </si>
  <si>
    <t>https://www.contratos.gov.co/consultas/detalleProceso.do?numConstancia=20-12-10467944</t>
  </si>
  <si>
    <t>PRESTACION DE SERVICIOS PROFESIONALES COMO INGENIERA CIVIL PARA APOYAR LAS ACCIONES DE REVISION TECNICA EN LA SECRETARIA DE INFRAESTRUCTURA Y MINAS DEL DEPARTAMENTO</t>
  </si>
  <si>
    <t>JAZMIN NATALY BENAVIDES CASTRO</t>
  </si>
  <si>
    <t>2020-03-02</t>
  </si>
  <si>
    <t>https://www.contratos.gov.co/consultas/detalleProceso.do?numConstancia=20-12-10541197</t>
  </si>
  <si>
    <t xml:space="preserve">PRESTACIÓN SERVICIOS PROFESIONALES PARA APOYAR LAS ACCIONES DE REVISIÓN TECNICA VIABILIZACIÓN SEGUIMIENTO Y CONTROL DE LOS PROYECTOS DE INVERSIÓN QUE EL DEPARTAMENTO DE NARIÑO EJECUTA A TRAVES DE LA SECRETARIA DE INFRAESTRUCTURA Y MINAS Y QUE DEBAN SER ATENDIDOS POR DICHA DEPENDENCIA </t>
  </si>
  <si>
    <t>HUMBERTO TOMAS CAICEDO CANAMEJOY</t>
  </si>
  <si>
    <t>https://www.contratos.gov.co/consultas/detalleProceso.do?numConstancia=20-12-10549621</t>
  </si>
  <si>
    <t>PRESTACIÓN  DE SERVICIOS PROFESIONALES DE ARQUITECTO PARA APOYAR LAS ACCIONES DE REVISIÓN TECNICA, VIABILIZACIÓN, SEGUIMIENTO Y CONTROL DE LOS PROYECTOS DE INVERSIÓN QUE EL DEPARTAMENTO DE NARIÑO EJECUTE A TRAVÉS DE LA SECRETARIA DE INFRAESTRUCTURA Y MINAS Y QUE DEBAN SER ATENDIDOS POR DICHA DEPENDENCIA.</t>
  </si>
  <si>
    <t>WILSON ALVEAR CEBALLOS DIAZ</t>
  </si>
  <si>
    <t>https://www.contratos.gov.co/consultas/detalleProceso.do?numConstancia=20-12-10536950</t>
  </si>
  <si>
    <t>PRESTACIÓN DE SERVICIOS PROFESIONALES DE ARQUITECTO PARA APOYAR LAS ACCIONES DE REVISIÓN TECNICA VIABILIZACION SEGUIMIENTO Y CONTROL DE LOS PROYECTOS DE INVERSION QUE EL DEPARTAMENTO DE NARIÑO EJECUTE A TRAVES DE LA SECRETARIA DE INFRAESTRUCTURA Y MINAS Y QUE DEBA SER ATENDIDOS POR DICHA DEPENDENCIA</t>
  </si>
  <si>
    <t>FAVIO DIOMEDES ROSERO PAZ</t>
  </si>
  <si>
    <t>https://www.contratos.gov.co/consultas/detalleProceso.do?numConstancia=20-12-10549552</t>
  </si>
  <si>
    <t>PRESTACIÓN DE SERVICIOS PROFESIONALES DE INGENIERÍA CIVIL PARA APOYAR LAS ACCIONES DE REVISIÓN TÉCNICA VIABILIZACIÓN SEGUIMIENTO Y CONTROL DE LOS PROYECTOS DE INVERSIÓN QUE EL DEPARTAMENTO DE NARIÑO EJECUTE A TRAVÉS DE LA SECRETARÍA DE INFRAESTRUCTURA Y MINAS Y QUE DEBAN SER ATENDIDOS POR DICHA DEPENDENCIA</t>
  </si>
  <si>
    <t>MARIO FERNANDO ZUTTA AREVALO</t>
  </si>
  <si>
    <t>https://www.contratos.gov.co/consultas/detalleProceso.do?numConstancia=20-12-10537204</t>
  </si>
  <si>
    <t xml:space="preserve">PRESTACIÓN DE SERVICIOS DE APOYO A LA GESTIÓN COMO OPERARIO DE MAQUINARIA Y DE LOS VEHÍCULOS DE LA SECRETARIA DE INFRAESTRUCTURA Y MINAS DEL DEPARTAMENTO DE NARIÑO.
</t>
  </si>
  <si>
    <t>RUBEN EVEIRO GUERRERO PAZ</t>
  </si>
  <si>
    <t>https://www.contratos.gov.co/consultas/detalleProceso.do?numConstancia=20-12-10537046</t>
  </si>
  <si>
    <t xml:space="preserve">PRESTACION DE SERVICIOS DE PAOYO A LA GESTION COMO CONDUCTOR DE VOLQUETA Y DE LOS VEHICULOS DE LA SECRETARIA DE INFRAESTRUCTURA Y MINAS DEL DEPARTAMENTO DE NARIÑO </t>
  </si>
  <si>
    <t>OMAR ARTURO LASSO ROSAS</t>
  </si>
  <si>
    <t>https://www.contratos.gov.co/consultas/detalleProceso.do?numConstancia=20-12-10590240</t>
  </si>
  <si>
    <t xml:space="preserve">PRESTACION DE SERVICIOS DE PAOYO A LA GESTION COMO OPERARIO DE MAQUINARIA Y DE LOS VEHICULOS DE LA SECRETARIA DE INFRAESTRUCTURA Y MINAS DEL DEPARTAMENTO DE NARIÑO.
</t>
  </si>
  <si>
    <t>JHON JAIRO MALES GOMEZ</t>
  </si>
  <si>
    <t>https://www.contratos.gov.co/consultas/detalleProceso.do?numConstancia=20-12-10544688</t>
  </si>
  <si>
    <t>PRESTACIÓN DE SERVICIOS DE APOYO A LA GESTIÓN COMO OPERARIO DE MAQUINARIA Y DE LOS VEHÍCULOS DE LA SECRETARIA DE INFRAESTRUCTURA Y MINAS DEL DEPARTAMENTO DE NARIÑO.</t>
  </si>
  <si>
    <t>https://www.contratos.gov.co/consultas/detalleProceso.do?numConstancia=20-12-10593844</t>
  </si>
  <si>
    <t xml:space="preserve">PRESTACIÓN DE SERVICIOS DE APOYO A LA GESTIÓN COMO OPERARIO DE MAQUINARIA Y DE LOS VEHÍCULOS DE LA SECRETARIA DE INFRAESTRUCTURA Y MINAS DEL DEPARTAMENTO DE NARIÑO. </t>
  </si>
  <si>
    <t>JESUS SOFONIAS CHAMORRO RAMIREZ</t>
  </si>
  <si>
    <t>2020-03-11</t>
  </si>
  <si>
    <t>https://www.contratos.gov.co/consultas/detalleProceso.do?numConstancia=20-12-10581716</t>
  </si>
  <si>
    <t>https://www.contratos.gov.co/consultas/detalleProceso.do?numConstancia=20-12-10561318</t>
  </si>
  <si>
    <t>https://www.contratos.gov.co/consultas/detalleProceso.do?numConstancia=20-12-10584616</t>
  </si>
  <si>
    <t>PRESTACION DE SERVICIOS PROFESIONALES COMO ABOGADO PARA LA ASISTENCIA JURIDICA EN EL EJERCICIO DE LAS COMPETENCIAS LEGALES Y REGLAMENTARIAS QUE EL DEPARTAMENTO DE NARIÑO EJERCE A TRAVES DE LA SECRETARIA DE INFRAESTRUCTURA Y MINAS EN MATERIA DE INFRAESTRUCTURA, MINAS, VIVIENDA Y PROCESOS DE CONTRATACION PUBLICA Y GESTION PREDIAL, QUE DEBA ADELANTAR ESTA DEPENDENCIA.</t>
  </si>
  <si>
    <t>ARTURO JORGE MESIAS ACOSTA</t>
  </si>
  <si>
    <t>https://www.contratos.gov.co/consultas/detalleProceso.do?numConstancia=20-12-10525223</t>
  </si>
  <si>
    <t>CLAUDIA PATRICIA RIZO ZAMORA</t>
  </si>
  <si>
    <t>https://www.contratos.gov.co/consultas/detalleProceso.do?numConstancia=20-12-10505176</t>
  </si>
  <si>
    <t>PRESTACION DE SERVICIOS DE APOYO A LA GESTIONPARA APOYAR LAS ACCIONES DE REVISION TECNICA ,VIABILIZACION Y CONTROL DE LOS PROYECETPOS DE INVERSON DEL DEPARTAMENTOD E NARIÑO ATRAVES DE LAS SIM</t>
  </si>
  <si>
    <t>JUAN FERNANDO NUÑEZ MONCAYO</t>
  </si>
  <si>
    <t>https://www.contratos.gov.co/consultas/detalleProceso.do?numConstancia=20-12-10600463</t>
  </si>
  <si>
    <t xml:space="preserve">PRESTACIÓN DE SERVICIOS PROFESIONALES DE INGENIERÍA CIVIL PARA APOYAR LAS ACCIONES DE REVISIÓN TÉCNICA, VIABILIZACIÓN, SEGUIMIENTO Y CONTROL DE LOS PROYECTOS DE INVERSIÓN QUE EL DEPARTAMENTO DE NARIÑO EJECUTE A TRAVÉS DE LA SECRETARIA DE INFRAESTRUCTURA Y MINAS Y QUE DEBAN SER ATENDIDOS POR DICHA DEPENDENCIA. 
</t>
  </si>
  <si>
    <t>JHON JAIRO ROSADA CERON</t>
  </si>
  <si>
    <t>2020-03-04</t>
  </si>
  <si>
    <t>https://www.contratos.gov.co/consultas/detalleProceso.do?numConstancia=20-12-10549607</t>
  </si>
  <si>
    <t xml:space="preserve">PRESTACIÓN DE SERVICIOS PROFESIONALES COMO ECONOMISTA PARA APOYAR LA ARTICULACIÓN CON DIAN, EL  DESARROLLO DE LA ESTRATEGIA DE CULTURA DE LA LEGALIDAD, PREVENCIÓN DEL DELITO (HURTO) Y DE LA SUBSECRETARIA DE GESTIÓN PUBLICA - SECRETARIA DE GOBIERNO DEPARTAMENTAL.
</t>
  </si>
  <si>
    <t>ROBERTO CARLOS BETANCOURT RAMOS</t>
  </si>
  <si>
    <t>2020-03-09</t>
  </si>
  <si>
    <t>https://www.contratos.gov.co/consultas/detalleProceso.do?numConstancia=20-12-10570709</t>
  </si>
  <si>
    <t xml:space="preserve">PRESTAR SUS SERVICIOS PROFESIONALES COMO ABOGADA FRENTE A LOS PROCESOS JURÍDICOS QUE SE ADELANTEN DESDE LA SUBSECRETARIA DE DESARROLLO COMUNITARIO EN EL DEPARTAMENTO DE NARIÑO PARA EL FORTALECIMIENTO DE LA SOBERANÍA SOCIO CULTURAL Y GOBERNANZA DE LOS CONCEJOS COMUNITARIOS Y LAS ORGANIZACIONES AFRO E INDÍGENAS. LO ANTERIOR DE CONFORMIDAD CON LOS DOCUMENTOS DEL PROCESO, QUE HACEN PARTE INTEGRAL DEL CONTRATO.
</t>
  </si>
  <si>
    <t>YORKLENT ALEJANDRA SALAZAR MORALES</t>
  </si>
  <si>
    <t>2020-03-12</t>
  </si>
  <si>
    <t>https://www.contratos.gov.co/consultas/detalleProceso.do?numConstancia=20-12-10590347</t>
  </si>
  <si>
    <t xml:space="preserve">PRESTAR SUS SERVICIOS PROFESIONALES COMO ABOGADO PARA APOYAR LOS PROCESOS JURÍDICOS QUE SE ADELANTAN DESDE LA SUBSECRETARÍA DE GESTIÓN PÚBLICA DEL DEPARTAMENTO DE NARIÑO.
</t>
  </si>
  <si>
    <t>DANIELA ELIZABETH GOMEZ PORTILLA</t>
  </si>
  <si>
    <t>https://www.contratos.gov.co/consultas/detalleProceso.do?numConstancia=20-12-10562049</t>
  </si>
  <si>
    <t xml:space="preserve">PRESTAR SUS SERVICIOS PROFESIONALES COMO ABOGADO PARA APOYAR LOS PROCESOS JURÍDICOS QUE SE ADELANTAN DESDE LA SUBSECRETARÍA DE GESTIÓN PÚBLICA DEL DEPARTAMENTO DE NARIÑO. </t>
  </si>
  <si>
    <t xml:space="preserve">URIEL HERNANDO URREA SIERRA </t>
  </si>
  <si>
    <t>https://www.contratos.gov.co/consultas/detalleProceso.do?numConstancia=20-12-10592505</t>
  </si>
  <si>
    <t>GERSON STEVEN PEÑA VILLOTA</t>
  </si>
  <si>
    <t>https://www.contratos.gov.co/consultas/detalleProceso.do?numConstancia=20-12-10581868</t>
  </si>
  <si>
    <t xml:space="preserve">EL CONTRATISTAS SE OBLIGA A PRESTAR SUS SERVICIOS PERSONALES DE APOYO A LA GESTION COMO CONDUCTOR EN LA SECRETARIA DE GOBIERNO DEL DEPARTAMENTO DE NARIÑO </t>
  </si>
  <si>
    <t>JHON ALEXANDER LAGOS ERAZO</t>
  </si>
  <si>
    <t>2020-03-17</t>
  </si>
  <si>
    <t>https://www.contratos.gov.co/consultas/detalleProceso.do?numConstancia=20-12-10606304</t>
  </si>
  <si>
    <t>PRESTACION DE SERVICIOS PROFESIONALES PARA APOYAR EN EN COMPONENTE COORDINACION NACION TERRITORIO Y LA ESTRATEGIA DE CORRESPONSABILIDAD EN LA SUBSECRETARIA DE PAZ Y DERECHOS HUMANOS. LO ANTERIOR DE CONFORMIDAD CON LOS DOCUMENTOS DEL PROCESO, QUE HACEN PARTE INTEGRAL DEL CONTRATO.</t>
  </si>
  <si>
    <t>2020-03-25</t>
  </si>
  <si>
    <t>https://www.contratos.gov.co/consultas/detalleProceso.do?numConstancia=20-12-10636375</t>
  </si>
  <si>
    <t>EL CONTRATISTA SE COMPROMETE CON EL DEPARTAMENTO A PRESTAR SUS SERVICIOS PROFESIONALES PARA REALIZAR ACCIONES CONTABLES Y FINANCIERAS EN LA SECRETARIA DE GOBIERNO SUBSECRETARIA DE PAZ Y DERECHOS HUMANOS, NECESARIA PARA LA FORMULACION Y SEGUIMIENTO EN RELACION CON EL COMPONENTE CONTABLE Y FINANCIERO DE LOS PROYECTOS DE REGALIAS, ASI COMO LA SUPERVISION Y LIQUIDACION DE LOS CONTRATOS Y CONVENIOS. LO ANTERIOR DE CONFORMDIAD CON LOS DOCUMENTOS DEL PROCESO, QUE HACEN PARTE INTEGRAL DEL CONTRATO.</t>
  </si>
  <si>
    <t>MAGDA IRENE HIDALGO CADENA</t>
  </si>
  <si>
    <t>https://www.contratos.gov.co/consultas/detalleProceso.do?numConstancia=20-12-10592388</t>
  </si>
  <si>
    <t>LA CONTRATISTA SE OBLIGA PARA CON EL DEPARTAMENTO A PRESTAR SUS SERVICIOS PROFESIONALES PARA EL FORTALECIMIENTO COMUNICACIONAL DE LA SUBSECRETARIA DE PAZ Y DERECHOS HUMANOS.</t>
  </si>
  <si>
    <t>ELIZABETH FERNANDA DIAZ TELLO</t>
  </si>
  <si>
    <t>https://www.contratos.gov.co/consultas/detalleProceso.do?numConstancia=20-12-10600553</t>
  </si>
  <si>
    <t>EL CONTRATISTA SE COMPROMETE CON EL DEPARTAMENTO A PRESTAR SUS SERVICIOS PROFESIONALES PARA APOYAR EN LA ARTICULACION DE LOS DISTINTOS COMPONENTES, PROGRAMAS, PROYECTOS, COMITES Y MESAS A CARGO DE LA SUBSECRETARIA DE PAZ Y DERECHOS HUMANOS. LO ANTERIOR DE CONFORMIDAD CON LOS DOCUMENTOS DEL PROCESOS QUE HACEN PARTE INTEGRAL DEL CONTRATO.</t>
  </si>
  <si>
    <t>LUIS ALBERTO REVELO CHACON</t>
  </si>
  <si>
    <t>2020-03-20</t>
  </si>
  <si>
    <t>https://www.contratos.gov.co/consultas/detalleProceso.do?numConstancia=20-12-10629343</t>
  </si>
  <si>
    <t>LA CONTRATISTA SE COMPROMETE CON EL DEPARTAMENTO A PRESTAR SUS SERVICIOS PROFESIONALES COMO ABOGADA PARA APOYAR EL PROGRAMA DE ATENCIÓN Y REPARACIÓN A VICTIMAS DEL CONFLICTO ARMADO Y DEMAS ASPECTOS JURIDICOS QUE DEBAN SER ATENDIDOS EN LA SUBSECRETARIA DE PAZ Y DERECHOS HUMANOS</t>
  </si>
  <si>
    <t>VIVIAN CAROLINA RAMIREZ MONTUFAR</t>
  </si>
  <si>
    <t>https://www.contratos.gov.co/consultas/detalleProceso.do?numConstancia=20-12-10550855</t>
  </si>
  <si>
    <t xml:space="preserve">LA CONTRATISTA SE COMPROMETE CON EL DEPARTAMENTO A PRESTAR SUS SERVICIOS PROFESIONALES COMO ABOGADA PARA APOYAR LA SUBSECRETARIA DE PAZ Y DERECHOS HUMANOS EN LA IMPLEMENTACION DE POLITICAS PUBLICAS DENTRO DEL MARCO DE LA LEY DE VICTIMAS Y EL RECONOCIMIENTO DE DERECHOS DE COMUNIDADES Y ORGANIZACIONES SOCIALES, Y EN LOS DEMAS ASPECTOS JURIDICOS QUE DEBEN SER ATENDIDOS EN LA SUBSECRETARIA DE PAZ Y DERECHOS HUMANOS. LO ANTERIOR DE CONFORMIDAD CON LOS DOCUMENTOS DEL PROCESO QUE HACEN PARTE INTEGRAL DEL CONTRATO.
</t>
  </si>
  <si>
    <t>JENNIFER ALEJANDRA UNIGARRO BASTIDAS</t>
  </si>
  <si>
    <t>https://www.contratos.gov.co/consultas/detalleProceso.do?numConstancia=20-12-10563706</t>
  </si>
  <si>
    <t>PRESTACION DE SERVICIOS PROFESIONALES PARA APOYAR LOS COMPONENTES DE ASISTENCIA Y ATENCION Y PREVENCION, PROTECCION Y GARANTIAS DE NO REPETICION DE LA SUBSECRETARIA DE PAZ Y DERECHOS HUMANOS ESPECIALMENTE EN LA COSTA PACIFICA Y PIES DE MONTE COSTERO. LO ANTERIOR DE CONFORMIDAD CON LOS DOCUMENTOS DEL PROCESO QUE HACEN PARTE INTEGRAL DE CONTRATO.</t>
  </si>
  <si>
    <t xml:space="preserve">SEGUNDO ADAN SAPUYES </t>
  </si>
  <si>
    <t>https://www.contratos.gov.co/consultas/detalleProceso.do?numConstancia=20-12-10616810</t>
  </si>
  <si>
    <t xml:space="preserve">	PRESTACION DE SERVICIOS PROFESIONALES EN LA SUBSECRETARIA DE PAZ Y DERECHOS HUMANOS APOYANDO EN LA COORDINACION DEPARTAMENTAL DEL CONSEJO DEPARTAMENTAL DE PAZ, RECONCILIACION Y CONVIVENCIA, ESPECIALMENTE EN EL COMPONENTE DE REINTEGRACION, RECONCILIACION SOCIAL Y ACCIONES EN TORNO AL PROCESO DE PAZ EN EL DEPARTAMENTO DE NARIÑO, LO ANTERIOR DE CONFORMIDAD CON LOS DOCUMENTOS DEL PROCESO, QUE HACEN PARTE INTEGRAL DEL CONTRATO.</t>
  </si>
  <si>
    <t>ELSY MARIELA MELO LOPEZ</t>
  </si>
  <si>
    <t>https://www.contratos.gov.co/consultas/detalleProceso.do?numConstancia=20-12-10600606</t>
  </si>
  <si>
    <t>PRESTACION DE SERVICIOS DE APOYO A LA GESTION COMO ENLACE TECNICO CON LAS AGENCIAS DE COOPERACION INTERNACIONAL PARA COORDINAR ACCIONES EN EL MARCO DE LA POLITICA PUBLICA DE REINTEGRACION Y REINCORPORACION EN LA SUBSECRETARIA DE PAZ Y DERECHOS HUMANOS. LO ANTERIOR DE CONFORMIDAD CON LOS DOCUMENTOS DEL PROCESO QUE HACEN PARTE INTEGRAL DEL CONTRATO.</t>
  </si>
  <si>
    <t>SANDRA STEFANIA ROJAS POVEDA</t>
  </si>
  <si>
    <t>https://www.contratos.gov.co/consultas/detalleProceso.do?numConstancia=20-12-10600693</t>
  </si>
  <si>
    <t xml:space="preserve">PRESTACION DE SERVICIOS PROFESIONALES COMO ABOGADO EN LA SECRETARIA DE GOBIERNO DEL DEPARTAMENTO FRENTE A LOS TRAMITES Y PROCESOS RELACIONADOS CON LA CONTRATACION Y DEMAS ASPECTOS JURIDICOS QUE DEBAN SER ATENDIDOS EN EL AREA DE DESEMPEÑO </t>
  </si>
  <si>
    <t>MARITZA ANDREA ANDRADE ERASO</t>
  </si>
  <si>
    <t>2020-03-18</t>
  </si>
  <si>
    <t>https://www.contratos.gov.co/consultas/detalleProceso.do?numConstancia=20-12-10616848</t>
  </si>
  <si>
    <t>APOYO A LA GESTIÓN COMO AUXILIAR JURÍDICO, FRENTE A LOS TRAMITES Y PROCESOS RELACIONADOS CON LA CONTRATACIÓN Y DEMÁS ASPECTOS JURÍDICOS QUE DEBAN SER ATENDIDOS EN LA SECRETARIA DE GOBIERNO FRENTE A ACTIVIDADES ADELANTADAS POR LA SUBSECRETARIA DE PAZ Y DERECHOS HUMANOS.</t>
  </si>
  <si>
    <t>CAROLINA MONTENEGRO CHAVEZ</t>
  </si>
  <si>
    <t>https://www.contratos.gov.co/consultas/detalleProceso.do?numConstancia=20-12-10637993</t>
  </si>
  <si>
    <t>EL CONTRATISTA SE COMPROMETE CON EL DEPARTAMENTO A PRESTAR SUS SERVICIOS DE APOYO A LA GESTIÓN ADMINISTRATIVA EN LOS DIFERENTES COMPONENTES QUE SE MANEJAN AL INTERIOR DE LA SUBSECRETARIA DE PAZ Y DERECHOS HUMANOS. LO ANTERIOR DE CONFORMIDAD CON LOS DOCUMENTOS DEL PROCESO, QUE HACEN PARTE INTEGRAL DEL CONTRATO.</t>
  </si>
  <si>
    <t>YOHN EDIXON DELGADO LEON</t>
  </si>
  <si>
    <t>https://www.contratos.gov.co/consultas/detalleProceso.do?numConstancia=20-12-10600748</t>
  </si>
  <si>
    <t>EL CONTRATISTA SE COMPROMETE CON EL DEPARTAMENTO A PRESTAR SUS SERVICIOS PROFESIONALES COMO ABOGADO EN LA SUBSECRETARIA DE DESARROLLO COMUNITARIO DEPARTAMENTAL, PARA BRINDAR APOYO JURÍDICO A LOS PROCESOS DE INSPECCIÓN, VIGILANCIA Y CONTROL DE JUNTAR DE ACCIÓN COMUNAL Y BOMBEROS DEL DEPARTAMENTO DE NARIÑO.</t>
  </si>
  <si>
    <t>JESUS DAVID CEBALLOS YEPEZ</t>
  </si>
  <si>
    <t>https://www.contratos.gov.co/consultas/detalleProceso.do?numConstancia=20-12-10597565</t>
  </si>
  <si>
    <t>JUAN PABLO SAN MARTIN</t>
  </si>
  <si>
    <t>https://www.contratos.gov.co/consultas/detalleProceso.do?numConstancia=20-12-10629361</t>
  </si>
  <si>
    <t>PRESTACION DE SERVICIOS PROFESIONALES COMO ABOGADO PARA APOYAR LA GESTION EN FORMULACION, REVISION, EVALUACION, APROBACION Y SEGUIMIENTO DE PROYECTOS DE ESFUERZO NO ARMADO DE LA SUBSECRETARIA DE GESTION PUBLICA SECRETARIA DE GOBIERNO DEPARTAMENTAL.</t>
  </si>
  <si>
    <t>NATHALY ALEXANDRA PORTILLA VILLOTA</t>
  </si>
  <si>
    <t>https://www.contratos.gov.co/consultas/detalleProceso.do?numConstancia=20-12-10606106</t>
  </si>
  <si>
    <t>PRESTACIÓN DE SERVICIOS COMO ADMINISTRADOR DE EMPRESAS PARA EL APOYO AL FORTALECIMIENTO DE EJERCICIOS ORGANIZATIVOS Y DE ECONOMÍA PROPIA DEL PUEBLO RROM EN EL DEPARTAMENTO DE NARIÑO.</t>
  </si>
  <si>
    <t>MYRIAM VIVIANA TIMARAN MONTENEGRO</t>
  </si>
  <si>
    <t>[{"fecha_suscripcion'":"2020-04-03","fecha_legalizacion":"2020-05-29","tipo Adicion":"otra","valor":"0","tiempo":"otra-"}]</t>
  </si>
  <si>
    <t>https://www.contratos.gov.co/consultas/detalleProceso.do?numConstancia=20-12-10590602</t>
  </si>
  <si>
    <t xml:space="preserve">PRESTAR SUS SERVICIOS PROFESIONALES COMO PSICÓLOGA FRENTE A LOS PROCESOS SOCIALES QUE SE ADELANTEN EN LA SUBSECRETARIA DE DESARROLLO COMUNITARIO EN EL DEPARTAMENTO DE NARIÑO PARA EL FORTALECIMIENTO DE LA SOBERANÍA SOCIO CULTURAL Y GOBERNANZA DE LOS CONCEJOS COMUNITARIOS Y LAS ORGANIZACIONES AFRO E INDÍGENAS. LO ANTERIOR DE CONFORMIDAD CON LOS DOCUMENTOS DEL PROCESO, QUE HACEN PARTE INTEGRAL DEL CONTRATO.
</t>
  </si>
  <si>
    <t>ANDREA ELIZABETH ARTURO GONZALEZ</t>
  </si>
  <si>
    <t>https://www.contratos.gov.co/consultas/detalleProceso.do?numConstancia=20-12-10561775</t>
  </si>
  <si>
    <t>2020-06-03</t>
  </si>
  <si>
    <t>EL CONTRATISTA SE COMPROMETE PARA CON EL DEPARTAMENTO A PRESTAR, POR SUS PROPIOS MEDIOS, CON PLENA AUTONOMÍA TÉCNICA Y ADMINISTRATIVA, SUS SERVICIOS PROFESIONALES COMO INGENIERO INDUSTRIAL PARA EL APOYO EN EL PROCESO QUE DEBE SURTIR EL ENTE TERRITORIAL EN LA FORMULACIÓN, REVISIÓN, EVALUACIÓN Y APROBACIÓN DE PROYECTOS PRESENTADOS A OCAD REGIÓN PACIFICO, PARA SER FINANCIADOS CON RECURSOS DEL SISTEMA GENERAL DE REGALÍAS -SGR, PARA EL DEPARTAMENTO DE NARIÑO. LO ANTERIOR DE CONFORMIDAD CON LOS DOCUMENTOS DEL PROCESO QUE HACEN PARTE INTEGRAL DEL CONTRATO.</t>
  </si>
  <si>
    <t>JUAN FELIPE CORDOBA LOPEZ</t>
  </si>
  <si>
    <t>[{"fecha_suscripcion'":"2020-04-30","fecha_legalizacion":"2020-06-01","tipo Adicion":"otra","valor":"0","tiempo":"otra-"}]</t>
  </si>
  <si>
    <t>https://www.contratos.gov.co/consultas/detalleProceso.do?numConstancia=20-12-10550907</t>
  </si>
  <si>
    <t>EL CONTRATISTA SE COMPROMETE CON EL DEPARTAMENTO A PRESTAR SUS SERVICIOS  PROFESIONALES COMO INGENIERA DE SISTEMAS PARA EL ACOMPAÑAMIENTO SISTEMATIZACION Y O REGISTRO DE INFORMACIÓN QUE SE PRODUZCA EN EL DESARROLLO DE INICIATIVAS PRODUCTIVAS Y DE LA EMPLEABILIDAD EN EL DEPARTAMENTO DE NARIÑO</t>
  </si>
  <si>
    <t>LUZ ANGELICA ERAZO ARTEAGA</t>
  </si>
  <si>
    <t>https://www.contratos.gov.co/consultas/detalleProceso.do?numConstancia=20-12-10616894</t>
  </si>
  <si>
    <t>Direccion Administrativa de Turismo</t>
  </si>
  <si>
    <t xml:space="preserve">LA CONTRATISTA SE OBLIGA CON EL DEPARTAMENTO A PRESTAR SUS SERVICIOS DE APOYO A LA GESTIÓN EN LA DIRECCIÓN ADMINISTRATIVA DE TURISMO DE LA GOBERNACIÓN DE NARIÑO, A FIN DE DESARROLLAR TAREAS ADMINISTRATIVAS PROPIAS DE LA DEPENDENCIA, CON EL FIN DE DAR CUMPLIMIENTO A LAS METAS Y OBJETIVOS CONTEMPLADOS EN EL PLAN DE ACCIÓN DE LA DIRECCIÓN ADMINISTRATIVA DE TURISMO. 
</t>
  </si>
  <si>
    <t>MONICA VIRGINIA GONZALEZ BAEZ</t>
  </si>
  <si>
    <t>https://www.contratos.gov.co/consultas/detalleProceso.do?numConstancia=20-12-10511635</t>
  </si>
  <si>
    <t xml:space="preserve">LA CONTRATISTA SE OBLIGA A PRESTAR SUS SERVICIOS PROFESIONALES, COMO ABOGADA DENTRO DE LOS PROYECTOS Y PROGRAMAS DE LA DIRECCION ADMINISTRATIVA DE TURISMO.
</t>
  </si>
  <si>
    <t>MAGALLY ORTIZ RODRIGUEZ</t>
  </si>
  <si>
    <t>https://www.contratos.gov.co/consultas/detalleProceso.do?numConstancia=20-12-10541485</t>
  </si>
  <si>
    <t xml:space="preserve">EL CONTRATISTA, SE OBLIGA A PRESTAR SUS SERVICIOS PROFESIONALES COMO INGENIERO DE SISTEMAS PARA BRINDAR ACOMPAÑAMIENTO Y SERVIR DE SOPORTE TÉCNICO A LA DIRECCIÓN ADMINISTRATIVA DE TURISMO DEL DEPARTAMENTO DE NARIÑO. </t>
  </si>
  <si>
    <t>RIGO EDISON FREIRE TEJADA</t>
  </si>
  <si>
    <t>https://www.contratos.gov.co/consultas/detalleProceso.do?numConstancia=20-12-10495966</t>
  </si>
  <si>
    <t>LA CONTRATISTA SE OBLIGA CON EL DEPARTAMENTO A PRESTAR SUS SERVICIOS PROFESIONALES EN LA DIRECCIÓN ADMINISTRATIVA DE TURISMO DE LA GOBERNACIÓN DE NARIÑO, PARA EL APOYO EN EL DISEÑO DEL MATERIAL PROMOCIONAL Y PUBLICITARIO EN EL PROYECTO " CONSOLIDACIÓN DEL DEPARTAMENTO COMO UN DESTINO TURÍSTICO INTEGRAL EN PRODUCTOS DE NATURALEZA, CULTURA, SOL Y PLAYA EN NARIÑO".</t>
  </si>
  <si>
    <t>LUISA FERNANDA CARMONA CARDONA</t>
  </si>
  <si>
    <t>https://www.contratos.gov.co/consultas/detalleProceso.do?numConstancia=20-12-10496483</t>
  </si>
  <si>
    <t>LA CONTRATISTA SE OBLIGA CON EL DEPARTAMENTO A PRESTAR SUS SERVICIOS PROFESIONALES EN LA DIRECCIÓN ADMINISTRATIVA DE TURISMO DE LA GOBERNACIÓN DE NARIÑO, PARA IMPLEMENTACIÓN DE PROCESOS COMUNICACIONALES PARA TRANSMITIR INFORMACIÓN CON RESPECTO A PROYECTOS, PROGRAMAS Y ESTRATEGIAS PROMOCIONALES DEL SECTOR TURISMO EN EL PROYECTO " CONSOLIDACIÓN DEL DEPARTAMENTO COMO UN DESTINO TURÍSTICO INTEGRAL EN PRODUCTOS DE NATURALEZA, CULTURA, SOL Y PLAYA EN NARIÑO".</t>
  </si>
  <si>
    <t>MAURA ALEJANDRA PABON LARA</t>
  </si>
  <si>
    <t>https://www.contratos.gov.co/consultas/detalleProceso.do?numConstancia=20-12-10495627</t>
  </si>
  <si>
    <t xml:space="preserve">LA CONTRATISTA SE OBLIGA PARA CON EL DEPARTAMENTO A PRESTAR SUS SERVICIOS PROFESIONALES EN LA DIRECCIÓN ADMINISTRATIVA DE TURISMO DE LA GOBERNACIÓN DE NARIÑO, PARA IMPLEMENTAR ESTRATEGIAS QUE MEJOREN LA CALIDAD DE LA OFERTA TURISTICA.
</t>
  </si>
  <si>
    <t>MAGDA NURIS QUIROZ HERNANDEZ</t>
  </si>
  <si>
    <t>https://www.contratos.gov.co/consultas/detalleProceso.do?numConstancia=20-12-10544505</t>
  </si>
  <si>
    <t xml:space="preserve">LA CONTRATISTA SE OBLIGA CON EL DEPARTAMENTO A PRESTAR POR SUS PROPIOS MEDIOS, CON PLENA AUTONOMÍA TÉCNICA  Y ADMINISTRATIVA SUS SERVICIOS PROFESIONALES COMO TRABAJADORA SOCIAL, PARA APOYAR EN LA IMPLEMENTACIÓN DEL SUB PROGRAMA PRIMERA INFANCIA E INFANCIA DE LA SECRETARIA DE EQUIDAD Y GENERO DE LA GOBERNACIÓN DE NARIÑO . LO ANTERIOR DE CONFORMIDAD CON LOS DOCUMENTOS DEL PROCESO, QUE HARÁN PARTE INTEGRAL DEL CONTRATO.
</t>
  </si>
  <si>
    <t>GALVIS JANETH RIASCOS GODOY</t>
  </si>
  <si>
    <t>https://www.contratos.gov.co/consultas/detalleProceso.do?numConstancia=20-12-10571067</t>
  </si>
  <si>
    <t xml:space="preserve">LA CONTRATISTA SE COMPROMETE PARA CON EL DEPARTAMENTO A PRESTAR SUS SERVICIOS PROFESIONALES, PARA APOYAR LA EJECUCIÓN DEL PLAN DE ACCIÓN 2020 DISEÑADO POR LA SECRETARIA DE EQUIDAD DE GENERO E INCLUSIÓN SOCIAL DE LA GOBERNACIÓN DE NARIÑO, REQUERIDO PARA CUMPLIR CON LOS OBJETIVOS Y METAS ESTABLECIDAS EN EL SUBPROGRAMA DE "ADOLESCENCIA Y JUVENTUD". LO ANTERIOR DE CONFORMIDAD CON LOS DOCUMENTOS DEL PROCESO, QUE HARÁN PARTE INTEGRAL DEL CONTRATO.
</t>
  </si>
  <si>
    <t>ANDREA LORENA ROMO CALVACHE</t>
  </si>
  <si>
    <t>https://www.contratos.gov.co/consultas/detalleProceso.do?numConstancia=20-12-10571503</t>
  </si>
  <si>
    <t xml:space="preserve">EL CONTRATISTA SE  OBLIGA PARA CON EL DEPARTAMENTO A PRESTAR POR SUS PROPIOS MEDIOS CON PLENA AUTONOMIA TECNICA  Y ADMINSTRATIVA SUS SERVICIOS DE APOYO A LA GESTION PARA APOYAR LA EJECUCION D EL PLAN DE ACCION DISEÑADO POR LA SECRETARIA  DE EQUIDAD DE GENERO E INCLUSION SOCIAL DE LA GOBERNACION DE NARIÑO  ESPECIALMENTE COADYUVANDO EN EL FORTALECIMIENTO DE LA EJECUCION DEL PLAN DE ACCION EN EL SUPROGRAMA EQUIDAD ENTRE LOS GENEROS LGTBI. LO ANTERIOR DE CONFORMIDAD CON LA PROPUESTA PRESENTADA Y APROBADA POR EL DPARTAMENTO  LA CUAL FORMA PARTE INTEGRAL  DEL PRESENTE CONTRATO </t>
  </si>
  <si>
    <t>DARLA CRISTINA GONZALEZ ARIAS</t>
  </si>
  <si>
    <t>https://www.contratos.gov.co/consultas/detalleProceso.do?numConstancia=20-12-10620394</t>
  </si>
  <si>
    <t>EL CONTRATISTA SE OBLIGA CON EL DEPARTAMENTO A PRESTAR POR SUS PROPIOS MEDIOS. CON PLENA AUTONOMÍA TÉCNICA Y ADMINISTRATIVA. SUS SERVICIOS PROFESIONALES PARA APOYAR LA EJECUCIÓN DEL PLAN DE ACCIÓN 2020, DISEÑADO POR LA SECRETARIA DE EQUIDAD DE GENERO E INCLUSIÓN SOCIAL DE LA GOBERNACIÓN DE NARIÑO, REQUERIDO PARA CUMPLIR CON LOS OBJETIVOS Y METAS ESTABLECIDAS EN EL SUBPROGRAMA DE "HABITANTE DE CALLE" LO ANTERIOR, DE CONFORMIDAD CON LA PROPUESTA PRESENTADA Y APROBADA POR EL DEPARTAMENTO, LA CUAL FORMA PARTE INTEGRAL DEL PRESENTE CONTRATO.</t>
  </si>
  <si>
    <t>ERIKA ORDONEZ ALVARADO</t>
  </si>
  <si>
    <t>https://www.contratos.gov.co/consultas/detalleProceso.do?numConstancia=20-12-10590665</t>
  </si>
  <si>
    <t>EL CONTRATISTA SE OBLIGA PARA CON EL DEPARTAMENTO A PRESTAR, POR SUS PROPIOS MEDIOS, CON PLENA AUTONOMIA TECNICA Y ADMINISTRATIVA, SUS SERVICIOS PROFESIONALES COMO ABOGADO, REALIZANDO EL ACOMPAÑAMIENTO EN LA GESTION JURIDICA, EN SU ETAPA PRECONTRACTUAL Y CONTRACTUAL DE LA SECRETARIA DE EQUIDAD DE GENERO E INCLUSION SOCIAL CON EL FIN DE COADYUVAR A LA REALIZACION DE LAS METAS Y PROPOSITOS INTEGRALES DE LA DEPENDENCIA Y EL DEPARTAMENTO DE NARIÑO.</t>
  </si>
  <si>
    <t>ALVARO JAVIER RIVAS ASTORQUIZA</t>
  </si>
  <si>
    <t>https://www.contratos.gov.co/consultas/detalleProceso.do?numConstancia=20-12-10590846</t>
  </si>
  <si>
    <t xml:space="preserve">LA CONTRATISTA SE OBLIGA PARA CON EL DEPARTAMENTO A PRESTAR, POR SUS PROPIOS MEDIOS, CON PLENA AUTONOMÍA TÉCNICA Y ADMINISTRATIVA, SUS SERVICIOS PROFESIONALES COMO ADMINISTRADOR DE EMPRESAS, REALIZANDO LA EJECUCIÓN Y ACOMPAÑAMIENTO DE LA PARTE FINANCIERA, PRESUPUESTAL Y CONTABLE DE LA SECRETARIA DE EQUIDAD DE GENERO E INCLUSIÓN SOCIAL CON EL FIN DE COADYUVAR A LA REALIZACIÓN DE LAS METAS Y PROPÓSITOS INTEGRALES DE LA DEPENDENCIA Y EL DEPARTAMENTO.
</t>
  </si>
  <si>
    <t>KAREN LILIANA ANGULO</t>
  </si>
  <si>
    <t>2020-03-10</t>
  </si>
  <si>
    <t>https://www.contratos.gov.co/consultas/detalleProceso.do?numConstancia=20-12-10579465</t>
  </si>
  <si>
    <t xml:space="preserve">PRESTACION DE SERVICIOS PROFESIONALES COMO ZOOTECNISTA, PARA BRINDAR APOYO EN EL SEGUIMIENTO Y EVALUACION DE LA EJECUCION DE PROYECTOS PECUARIOS, A CARGO DE LA SECRETARIA DE AGRICULTURA Y DESARROLLO RURAL DEL DEPARTAMENTO DE NARIÑO. </t>
  </si>
  <si>
    <t>JESUS ARGELINO LOPEZ NARVAEZ</t>
  </si>
  <si>
    <t>2020-03-26</t>
  </si>
  <si>
    <t>https://www.contratos.gov.co/consultas/detalleProceso.do?numConstancia=20-12-10634009</t>
  </si>
  <si>
    <t xml:space="preserve">EL CONTRATISTA SE OBLIGA PARA CON EL DEPARTAMENTO A PRESTAR, POR SUS PROPIOS MEDIOS, CON PLENA AUTONOMIA TECNICA Y ADMINISTRATIVA, SUS SERVICIOS PROFESIONALES, REALIZANDO LA EJECUCION Y ACOMPAÑAMIENTO DE CAMPO DE LOS SIETE PROGRAMAS, CON ENFASIS EN EL PROGRAMA DE ADOLESCENCIA Y JUVENTUD DE LA SECRETARIA DE EQUIDAD DE GENERO E INCLUSION SOCIAL CON EL FIN DE COADYUVAR A LA REALIZACION DE LAS METAS Y PROPOSITOS INTEGRALES DE LA DEPENDENCIA Y EL DEPARTAMENTO.
</t>
  </si>
  <si>
    <t>ALEX FERNANDO TREJO RIASCOS</t>
  </si>
  <si>
    <t>https://www.contratos.gov.co/consultas/detalleProceso.do?numConstancia=20-12-10620223</t>
  </si>
  <si>
    <t xml:space="preserve">PRESTACION DE SERVICIOS DE APOYO A LA GESTION EN LA SECRETARIA DE EQUIDAD DE GENERO </t>
  </si>
  <si>
    <t xml:space="preserve">NORMA CONSTANZA GARCES ROSERO </t>
  </si>
  <si>
    <t>https://www.contratos.gov.co/consultas/detalleProceso.do?numConstancia=20-12-10620309</t>
  </si>
  <si>
    <t>EL CONTRATISTA SE OBLIGA CON EL DEPARTAMENTO A REALIZAR CON PLENA AUTONOMIA TECNICA Y ADMINISTRATIVA EN LA SECRETARÍA DE GENERO E INCLUSION SOCIAL DE LA GOBERNACION DE NARIÑO ASISTIENDO LOS REQUERIMIENTOS DE LOS PROGRAMAS Y PROYECTOS DE LA DEPENDENCIA DE LOS MUNICIPIOS DE LA REGION PACIFICA DEL DEPARTAMENTO DE NARIÑO.</t>
  </si>
  <si>
    <t>WILMAR HURTADO</t>
  </si>
  <si>
    <t>2020-04-06</t>
  </si>
  <si>
    <t>2020-10-06</t>
  </si>
  <si>
    <t>https://www.contratos.gov.co/consultas/detalleProceso.do?numConstancia=20-12-10660752</t>
  </si>
  <si>
    <t>LA CONTRATISTA SE OBLIGA PARA CON EL DEPARTAMENTO A PRESTAR CON SUS PROPIOS MEDIOS, CON PLENA AUTONOMIA TECNICA Y ADMINISTRATIVA, SUS SERVICIOS PROFESIONALES COMO ADMINISTRADORA DE EMPRESAS, REALIZANDO APOYO DE MANERA TRASVERSAL A LOS PROGRAMAS DE PRIMERA INFANCIA, MUJER Y GENERO, ADOLESCENCIA Y JUVENTUD, ADULTO MAYOR, DISCAPACIDAD, HABITANTE DE CALLE Y POBLACION LGBTI CON EL FIN DE FACILITAR LA EJECUCION Y FORTALECIMIENTO DE LOS PROCESOS Y PROGRAMAS DE ESTA DEPENDENCIA EN EL AMBITO DE LA REGION PACIFICA DEL DEPARTAMENTO DE NARIÑO MUNICIPIOS DE TUMACO, BARBACOAS, OLAYA HERRERA, EL CHARCO, LA TOLA, MAGI PAYAN, SANTA BARBARA, PIZARRO, MOSQUERA, ROBERTO PAYAN, ISCUANDE, RICAURTE.</t>
  </si>
  <si>
    <t>MARIA ARELI SEVILLANO CASTILLO</t>
  </si>
  <si>
    <t>https://www.contratos.gov.co/consultas/detalleProceso.do?numConstancia=20-12-10622986</t>
  </si>
  <si>
    <t>PRESTACION DE SERVICIOS PROFESIONALES PARA BRINDAR APOYO EN EL SEGUIMIENTO A LA EJECUCION Y EVALUACION DE PROYECTOS AGROPECUARIOS A CARGO DE LA SECRETARIA DE AGRICULTURA Y DESARROLLO RURAL DEL DEPARTAMENTO DE NARIÑO</t>
  </si>
  <si>
    <t>CHRISTIAN DANILO PINTA PAGUATIAN</t>
  </si>
  <si>
    <t>2020-03-31</t>
  </si>
  <si>
    <t>https://www.contratos.gov.co/consultas/detalleProceso.do?numConstancia=20-12-10642219</t>
  </si>
  <si>
    <t>LA CONTRATISTA SE OBLIGA PARA CON EL DEPARTAMENTO A PRESTAR, POR SUS PROPIOS MEDOS, CON PLENA AUTONOMIA TECNICA Y ADMINISTRATIVA, SUS SERVICIOS PROFESIONALES COMO POLITOLOGA, REALIZANDO LA ASESORIA EN TEMAS DE POLITICAS PUBLICAS Y SOCIEDADES DE LA SECRETARIA DE EQUIDAD DE GENERO E INCLUSION SOCIAL CON EL FIN DE COADYUVAR A LA REALIZACION DE LAS METAS Y PROPOSITOS INTEGRALES DE LA DEPENDENCIA Y EL DEPARTAMENTO.</t>
  </si>
  <si>
    <t>NATHALY BURBANO MUÑOZ</t>
  </si>
  <si>
    <t>https://www.contratos.gov.co/consultas/detalleProceso.do?numConstancia=20-12-10600824</t>
  </si>
  <si>
    <t>PRESTACION DE SERVICIOS PROFESIONALES COMO INGENIERO AGRONOMO PARA EL APOYO EN EL SEGUIMIENTO A LA EJECUCION Y EVALUACION DE LOS PROYECTOS AGRICOLAS A CARGO DE LA SECRETARIA DE AGRICULTURA Y DESARROLLO RURAL.</t>
  </si>
  <si>
    <t xml:space="preserve">PEDRO ANTONIO GAVIRIA  MUÑOZ </t>
  </si>
  <si>
    <t>https://www.contratos.gov.co/consultas/detalleProceso.do?numConstancia=20-12-10629428</t>
  </si>
  <si>
    <t xml:space="preserve">APOYAR LOS PROCESOS DE ORDENAMIENTOS SOCIAL DE LA PROPIEDAD RURAL Y USO PRODUCTIVO DEL SUELO Y LOS PROGRAMAS DE DESARROLLO RURAL CON ENFOQUE TERRITORIAL TENIENDO EN CUENTA LAS PARTICULARIDADES DE AGRICULTURA FAMILIAR, LA MUJER, EL JOVEN RURAL, LOS GRUPOS ETNICOS, ASOCIACIONES CAMPESINAS Y LAS ORGANIZACIONES SOCIALES </t>
  </si>
  <si>
    <t>JESUS FABIAN TREJO ROMERO</t>
  </si>
  <si>
    <t>https://www.contratos.gov.co/consultas/detalleProceso.do?numConstancia=20-12-10620452</t>
  </si>
  <si>
    <t>PRESTACION DE SERVICIOS PROFESIONALES COMO INGENIERO AGRONOMO, PARA APOYAR EN LA ESTRUCTURACION, FORMULACION Y VIABILIZACION DE PROYECTOS DE INVERSION DEL SECTOR AGROPECUARIO Y AGRO INDUSTRIAL A CARGO DE LA SECRETARIA DE AGRICULTURA Y DESARROLLO RURAL DEL DEPARTAMENTO DE NARIÑO.</t>
  </si>
  <si>
    <t>MILENA DEL CARMEN MONTENEGRO RIVERA</t>
  </si>
  <si>
    <t>https://www.contratos.gov.co/consultas/detalleProceso.do?numConstancia=20-12-10633971</t>
  </si>
  <si>
    <t>PRESTACION DE SERVICIOS PROFESIONALES COMO INGENIERO INDUSTRIAL, PARA APOYAR EN LA ESTRUCTURACION, FORMULACION Y VIABILIZACION DE PROYECTOS DE INVERSION DEL SECTOR AGROPECUARIO Y AGROINDUSTRIAL A CARGO DE LA SECRETARIA DE AGRICULTURA Y DESARROLLO RURAL DEL DEPARTAMENTO DE NARIÑO.</t>
  </si>
  <si>
    <t>JORGE ARIEL AUX PANTOJA</t>
  </si>
  <si>
    <t>2020-04-03</t>
  </si>
  <si>
    <t>https://www.contratos.gov.co/consultas/detalleProceso.do?numConstancia=20-12-10640944</t>
  </si>
  <si>
    <t xml:space="preserve">PRESTACION DE SERVICIOS PARA APOYO A LA GESTION,  FORMULACION Y SEGUIMIENTO DE LOS PROYECTOS DE INVERSIÓN FINANCIADOS CON RECURSOS DEL SISTEMA GENERAL DE REGALIAS QUE SE ENCUENTRAN A CARGO DE LA SECRETARIA DE AGRICULTURA Y DESARROLLO RURAL. </t>
  </si>
  <si>
    <t>CLAUDIA ALEXANDRA RUIZ BARAHONA</t>
  </si>
  <si>
    <t>https://www.contratos.gov.co/consultas/detalleProceso.do?numConstancia=20-12-10581949</t>
  </si>
  <si>
    <t xml:space="preserve">EL CONTRATISTA SE OBLIGA PARA CON LA GOBERNACIÓN DE NARIÑO A PRESTAR POR SUS PROPIOS MEDIOS, CON PLENA AUTONOMÍA TÉCNICA Y ADMINISTRATIVA SUS SERVICIOS PROFESIONALES PARA LA PROGRAMACIÓN, DINAMIZACIÓN, FORTALECIMIENTO Y COORDINACIÓN DE LAS DIFERENTES ACTIVIDADES QUE SE LLEVAN A CABO EN LA CASA DE LA CULTURA DE NARIÑO, ADSCRITA A LA DIRECCIÓN ADMINISTRATIVA DE CULTURA.
</t>
  </si>
  <si>
    <t>ALVARO GONZALO REYES RISUEÑO</t>
  </si>
  <si>
    <t>https://www.contratos.gov.co/consultas/detalleProceso.do?numConstancia=20-12-10571271</t>
  </si>
  <si>
    <t xml:space="preserve">PRESTACION DE SERVICIOS PROFESIONLAES EN LADIRECCIIN ADMINISTRATIVA DE CULTURA </t>
  </si>
  <si>
    <t>HENRY ALIRIO PARRA PAY</t>
  </si>
  <si>
    <t>https://www.contratos.gov.co/consultas/detalleProceso.do?numConstancia=20-12-10591284</t>
  </si>
  <si>
    <t xml:space="preserve">EL CONTRATISTA SE OBLIGA PARA CON EL DEPARTAMENTO DE NARIÑO A PRESTAR POR SUS PROPIOS MEDIOS , CON PLENA AUTONOMÍA TÉCNICA Y ADMINISTRATIVA SUS SERVICIOS PROFESIONALES PARA EL FORTALECIMIENTO Y DINAMIZACIÓN DEL SISTEMA DEPARTAMENTAL DE CULTURA CON ÉNFASIS EN LOS DIFERENTES MUNICIPIOS DEL DEPARTAMENTO DE NARIÑO.
</t>
  </si>
  <si>
    <t>GUIDO ORLANDO MOSQUERA ESPARZA</t>
  </si>
  <si>
    <t>https://www.contratos.gov.co/consultas/detalleProceso.do?numConstancia=20-12-10579336</t>
  </si>
  <si>
    <t>PRESTACIÓN DE SERVICIOS PROFESIONALES COMO ABOGADA PARA APOYAR TODOS LOS PROCESOS PRE - CONTRACTUALES, CONTRACTUALES Y POST - CONTRACTUALES DE LOS PROYECTOS DE IMPUESTO NACIONAL DE CONSUMO - INC Y DEMÁS QUE ADELANTEN EN LA DIRECCIÓN ADMINISTRATIVA DE CULTURA DEL DEPARTAMENTO DE NARIÑO.</t>
  </si>
  <si>
    <t>LIZETH CATALINA ROSAS CHAVES</t>
  </si>
  <si>
    <t>https://www.contratos.gov.co/consultas/detalleProceso.do?numConstancia=20-12-10584484</t>
  </si>
  <si>
    <t xml:space="preserve">PRESTACIÓN DE SERVICIOS PROFESIONALES COMO CONTADORA PUBLICA BRINDANDO APOYO Y ACOMPAÑAMIENTO EN LOS TRAMITES CONTABLES Y PRESUPUESTALES DE LA DIRECCIÓN ADMINISTRATIVA DE CULTURA.
</t>
  </si>
  <si>
    <t>CARMENZA ORTIZ MUNOZ</t>
  </si>
  <si>
    <t>https://www.contratos.gov.co/consultas/detalleProceso.do?numConstancia=20-12-10584868</t>
  </si>
  <si>
    <t xml:space="preserve">PRESTAR SUS SERVICIOS PROFESIONALES COMO ADMINISTRADORA DE NEGOCIOS INTERNACIONALES, PARA APOYAR EN EL DESARROLLO DE ACTIVIDADES RELACIONADAS CON EL PROGRAMA DE INCENTIVOS Y CONCERTACIÓN EN LA DIRECCIÓN ADMINISTRATIVA DE CULTURA DEL DEPARTAMENTO DE NARIÑO.
</t>
  </si>
  <si>
    <t>DIANA ALEXANDRA MARTINEZ IBARRA</t>
  </si>
  <si>
    <t>https://www.contratos.gov.co/consultas/detalleProceso.do?numConstancia=20-12-10585704</t>
  </si>
  <si>
    <t>PRESTACION DE SERVICIOS PROFESIONALES COMO ADMINISTRADORA DE EMPRESAS Y ESPECIALISTA EN GERENCIA DE PROYECTOS PARA APOYAR EL DESARROLLO DE PROCESOS Y ACTIVIDADES ORIENTADAS A LA PROMOCION, PROTECCION, VALORACION IDENTIDAD Y SALVAGUARDIA DEL PATRIMONIO CULTURAL DE LA HUMANIDAD Y EL DEPARTAMENTO DE NARIÑO, REQUERIDOS PARA LA EJECUCION DEL PLAN DE ACCION 2020 DISEÑADO POR LA DIRECCION ADMINISTRATIVA DE CULTURA DEL DEPARTAMENTO DE NARIÑO.</t>
  </si>
  <si>
    <t>AURA DEL ROSARIO CAICEDO LUNA</t>
  </si>
  <si>
    <t>https://www.contratos.gov.co/consultas/detalleProceso.do?numConstancia=20-12-10629668</t>
  </si>
  <si>
    <t>PRESTACIÓN DE SERVICIOS PROFESIONALES COMO SOCIÓLOGA PARA APOYAR LOS PROYECTOS Y PROCESOS DE REGALÍAS Y EMPRENDIMIENTO DE LA DIRECCIÓN ADMINISTRATIVA DE CULTURA</t>
  </si>
  <si>
    <t>BRIGYTHED LUCERO MEDINA DIAZ</t>
  </si>
  <si>
    <t>https://www.contratos.gov.co/consultas/detalleProceso.do?numConstancia=20-12-10549686</t>
  </si>
  <si>
    <t xml:space="preserve">PRESTAR SERVICIOS PROFESIONALES PARA EL APOYO EN EL DESARROLLO DE ACTIVIDADES RELACIONADAS CON EL PROGRAMA DE INVENTIVOS Y CONCERTACIÓN DE LA DIRECCIÓN ADMINISTRATIVA DE CULTURA DEL DEPARTAMENTO DE NARIÑO.
</t>
  </si>
  <si>
    <t>LUIS ALBERTO ESTRELLA CABRERA</t>
  </si>
  <si>
    <t>https://www.contratos.gov.co/consultas/detalleProceso.do?numConstancia=20-12-10571140</t>
  </si>
  <si>
    <t>PRESTACIÓN DE SERVICIOS PROFESIONALES EN EL DISEÑO DE LA PUBLICIDAD INSTITUCIONAL DE LA SECRETARIA TIC, INNOVACIÓN Y GOBIERNO ABIERTO Y LA SUBSECRETARIA DE INNOVACIÓN.</t>
  </si>
  <si>
    <t>MAURICIO JURADO CHAVES</t>
  </si>
  <si>
    <t>https://www.contratos.gov.co/consultas/detalleProceso.do?numConstancia=20-12-10600904</t>
  </si>
  <si>
    <t>PRESTACIÓN DE SERVICIOS DE APOYO A LA GESTIÓN PARA EL CUIDADO, MANTENIMIENTO, LIMPIEZA DE LAS INSTALACIONES AL SERVICIO DE LA BANDA SINFÓNICA DEPARTAMENTAL DE NARIÑO, AL IGUAL QUE BRINDAR APOYO LOGÍSTICO EN LAS ACTIVIDADES NECESARIAS PARA GARANTIZAR LA REALIZACIÓN ADECUADA DE LOS ENSAYOS Y CONCIERTO A LOS QUE SE CONVOQUE A LA BANDA SINFÓNICA DEPARTAMENTAL DE NARIÑO.</t>
  </si>
  <si>
    <t>MIGUEL MIÑO SUAREZ</t>
  </si>
  <si>
    <t>https://www.contratos.gov.co/consultas/detalleProceso.do?numConstancia=20-12-10600963</t>
  </si>
  <si>
    <t xml:space="preserve">PRESTACIÓN DE SERVICIOS DE APOYO A LA GESTIÓN PARA APOYAR LA DINAMIZACIÓN CULTURAL DE LA CASA DE CULTURA DE LA DIRECCIÓN ADMINISTRATIVA DE CULTURA DEL DEPARTAMENTO DE NARIÑO.
</t>
  </si>
  <si>
    <t>SANDRA MARITZA GARCES ROSERO</t>
  </si>
  <si>
    <t>https://www.contratos.gov.co/consultas/detalleProceso.do?numConstancia=20-12-10554383</t>
  </si>
  <si>
    <t>PRESTACIÓN DE SERVICIOS DE APOYO A LA GESTIÓN PARA APOYAR TODOS LOS PROCESOS PRE - CONTRACTUALES, CONTRACTUALES Y POST - CONTRACTUALES QUE SE ADELANTAN EN LA DIRECCIÓN ADMINISTRATIVA DE CULTURA DEL DEPARTAMENTO DE NARIÑO.</t>
  </si>
  <si>
    <t>EDUARD ALVAREZ DELGADO</t>
  </si>
  <si>
    <t>https://www.contratos.gov.co/consultas/detalleProceso.do?numConstancia=20-12-10544355</t>
  </si>
  <si>
    <t xml:space="preserve">PRESTACION DE SERVICIOS DE APOYO A LA GESTION EN LA DIRECCION ADMINISTRATIVA DE CULTURA </t>
  </si>
  <si>
    <t>JESUS DAVID GUADIR DAVILA</t>
  </si>
  <si>
    <t>https://www.contratos.gov.co/consultas/detalleProceso.do?numConstancia=20-12-10571584</t>
  </si>
  <si>
    <t>EL CONTRATISTA SE OBLIGA CON EL DEPARTAMENTO A LA PRESTACION DE SERVICIOS DE APOYO A LA GESTION EN LA PRODUCCION MULTIMEDIA, VISUALIZACION DE INFORMACION Y TRATAMIENTO GRAFICO PARA EL FORTALECIMIENTO DE LOS PROYECTOS DE LA SUBSECRETARIA DE INNOVACIÓN SOCIAL NARIÑO CISNA DE LA GOBERNACIÓN DE NARIÑO. LO ANTERIOR DE CONFORMIDAD CON LOS DOCUMENTOS DEL PROCESO, QUE HACEN PARTE INTEGRAL DEL CONTRATO.</t>
  </si>
  <si>
    <t>JESSICA HERRERA GUEVARA</t>
  </si>
  <si>
    <t>https://www.contratos.gov.co/consultas/detalleProceso.do?numConstancia=20-12-10592366</t>
  </si>
  <si>
    <t>PRESTACIÓN DE SERVICIOS PROFESIONALES COMO ABOGADO PARA APOYAR A LA SECRETARIA TIC DE INNOVACIÓN Y GOBIERNO ABIERTO EN LOS PROYECTOS QUE SEAN FINANCIADOS CON EL FONDO DE CIENCIA TECNOLOGÍA E INNOVACIÓN DEL SGR. LA GESTIÓN CONTRACTUAL QUE SEA ADELANTADA POR LA SECRETARIA Y DEMÁS ASPECTOS JURÍDICOS QUE DEBAN SER ATENDIDOS POR ESTA DEPENDENCIA.</t>
  </si>
  <si>
    <t>JUAN JOSE CORDOBA ERASO</t>
  </si>
  <si>
    <t>https://www.contratos.gov.co/consultas/detalleProceso.do?numConstancia=20-12-10493046</t>
  </si>
  <si>
    <t>OSCAR GUILLERMO REVELO ENRIQUEZ</t>
  </si>
  <si>
    <t xml:space="preserve">EL CONTRATISTA SE OBLIGA CON EL DEPARTAMENTO A LA PRESTACIÓN DE SERVICIOS DE APOYO A LA GESTIÓN EN EL DISEÑO DE PRODUCCIÓN DISEÑO GRÁFICO Y ARTES GRÁFICAS REQUERIDOS POR LA SUBSECRETARIA DE INNOVACIÓN SOCIAL DE NARIÑO. LO ANTERIOR DE CONFORMIDAD CON LOS DOCUMENTOS DEL PROCESO QUE HACEN PARTE INTEGRAL DEL CONTRATO. </t>
  </si>
  <si>
    <t>CESAR AUGUSTO IPUJAN CHAPARPUED</t>
  </si>
  <si>
    <t>https://www.contratos.gov.co/consultas/detalleProceso.do?numConstancia=20-12-10620515</t>
  </si>
  <si>
    <t>PRESTACIÓN DE SERVICIOS PROFESIONALES PARA APOYAR EN LA CAPACITACIÓN Y SOCIALIZACION DE LAS POLÍTICAS PUBLICAS DE LA SECRETARIA TIC INNOVACIÓN Y GOBIERNO ABIERTO Y LA SUBSECRETARIA DE INNOVACIÓN SOCIAL.</t>
  </si>
  <si>
    <t>ANA SOFIA LOPEZ MEJIA</t>
  </si>
  <si>
    <t>https://www.contratos.gov.co/consultas/detalleProceso.do?numConstancia=20-12-10606368</t>
  </si>
  <si>
    <t>EL CONTRATISTA SE OBLIGA CON EL DEPARTAMENTO PARA LA PRESTACION DE SERVICIOS COMO CONTADOR PUBLICO CON ESPECIALIZACION EN GESTION PUBLICA Y GOBIERNO PARA BRINDAR UN ACOMPAÑAMIENTO Y CONTROL EN LA EJECUCION DE LOS PROYECTOS DE CIENCIA, INNOVACION Y TECNOLOGIA QUE DEBAN SER ATENDIDOS Y DESARROLLADOS POR LA SUBSECRETARIA DE INNOVACIÓN DEL DEPARTAMENTO DE NARIÑO. LO ANTERIOR DE CONFORMIDAD CON LOS DOCUMENTOS DEL PROCESO, QUE HACEN PARTE INTEGRAL DEL CONTRATO.</t>
  </si>
  <si>
    <t>CARLOS ANDRES MANTILLA PISTALA</t>
  </si>
  <si>
    <t>https://www.contratos.gov.co/consultas/detalleProceso.do?numConstancia=20-12-10620608</t>
  </si>
  <si>
    <t>EL CONTRATISTA SE OBLIGA CON EL DEPARTAMENTO A LA PRESTACION DE SUS SERVICIOS DE APOYO A LA GESTION, PARA APOYAR LA COMUNICACION, LA CAPACITACION Y ESPECIALIZACION DE PROYECTOS QUE SE DESGLOSEN DE LA SUBSECRETARIA DE INNOVACION TENIENDO COMO BASE LA ECONOMIA COMPARTIDA Y LA ECONOMIA DIGITAL. LO ANTERIOR DE CONFORMIDAD CON LOS DOCUMENTOS DEL PROCESO, QUE HACEN PARTE INTEGRAL DEL CONTRATO.</t>
  </si>
  <si>
    <t>EDGAR ORLANDO AYALA COBO</t>
  </si>
  <si>
    <t>https://www.contratos.gov.co/consultas/detalleProceso.do?numConstancia=20-12-10601011</t>
  </si>
  <si>
    <t xml:space="preserve">PRESTACION DE SERVICIOS PROFESIONALES COMO ABOGADA EN SECRETARIA TIC </t>
  </si>
  <si>
    <t>NATHALY CECILIA SILVESTRE BOLAÑOS</t>
  </si>
  <si>
    <t>https://www.contratos.gov.co/consultas/detalleProceso.do?numConstancia=20-12-10594012</t>
  </si>
  <si>
    <t>EL CONTRATISTA SE OBLIGA DE MANERA AUTONOMA A LA PRESTACION DE SERVICIOS PROFESIONALES COMO DISEÑADOR GRAFICO, PARA APOYAR ACTIVIDADES DENTRO DE LOS PROGRAMAS Y 0 PROYECTOS QUE SE REQUIERAN EN LA SECRETARIA DE PLANEACION DEPARTAMENTAL. LO ANTERIOR DE CONFORMIDAD CON LOS DOCUMENTOS DEL PROCESO, QUE HACEN PARTE INTEGRAL DEL CONTRATO.</t>
  </si>
  <si>
    <t>SANTIAGO ALVAREZ ERASO</t>
  </si>
  <si>
    <t>https://www.contratos.gov.co/consultas/detalleProceso.do?numConstancia=20-12-10629722</t>
  </si>
  <si>
    <t xml:space="preserve">LA CONTRATISTA SE OBLIGA CON EL DEPARTAMENTO A PRESTAR SUS SERVICIOS PROFESIONALES COMO ASESORA JURÍDICA, PARA BRINDAR LA ASESORÍA Y ACOMPAÑAMIENTO LEGAL EN ASUNTOS JURÍDICOS, ADMINISTRATIVOS, CONTRACTUALES, CAPACITACIÓN Y DEMÁS ASPECTOS LEGALES QUE SE REQUIERAN ADELANTAR EN LA SECRETARIA DE PLANEACIÓN DEPARTAMENTAL Y QUE DEBAN SER ATENDIDOS POR DICHA DEPENDENCIA.
</t>
  </si>
  <si>
    <t>SANDRA MILENA BURGOS HIDALGO</t>
  </si>
  <si>
    <t>https://www.contratos.gov.co/consultas/detalleProceso.do?numConstancia=20-12-10585879</t>
  </si>
  <si>
    <t xml:space="preserve">EL CONTRATISTA SE OBLIGA DE MANERA AUTÓNOMA CON EL DEPARTAMENTO A PRESTAR SUS SERVICIOS DE APOYO A LA GESTIÓN PARA REALIZAR ACTIVIDADES OPERATIVA, LOGÍSTICAS Y ADMINISTRATIVAS DEL PERSONAL ADSCRITO A LA SECRETARIA DE PLANEACIÓN DEPARTAMENTAL, LO ANTERIOR DE CONFORMIDAD CON LOS DOCUMENTOS DEL PROCESO, QUE HACEN PARTE INTEGRAL DEL CONTRATO. 
</t>
  </si>
  <si>
    <t>OSCAR ALEXANDER CUASPA CHAUCANES</t>
  </si>
  <si>
    <t>https://www.contratos.gov.co/consultas/detalleProceso.do?numConstancia=20-12-10591048</t>
  </si>
  <si>
    <t>EL O LA CONTRATISTA SE COMPROMETE CON EL DEPARTAMENTO A PRESTAR SUS SERVICIOS PROFESIONALES COMO GEOGRAFO CON ENFASIS EN PLANIFICACION REGIONAL, PARA EL APOYO TECNICO FRENTE A LA REALIZACION DE PROCESOS DE PLANIFICACION DE COMPETENCIA DE LA SECRETARIA DE PLANEACION DEL DEPARTAMENTO DE NARIÑO.</t>
  </si>
  <si>
    <t>MARIO FERNANDO MIRAMAG SOTELO</t>
  </si>
  <si>
    <t>https://www.contratos.gov.co/consultas/detalleProceso.do?numConstancia=20-12-10629406</t>
  </si>
  <si>
    <t xml:space="preserve">PRESTACION DE SERVICIOS PROFESIONALES  DE ABOGADO EN LA SECRETARIA DE PLANEACION DEPARTAMENTAL </t>
  </si>
  <si>
    <t>59.396.583</t>
  </si>
  <si>
    <t xml:space="preserve">VIVIANA DE JESUS RUANO GUEVARA </t>
  </si>
  <si>
    <t>https://www.contratos.gov.co/consultas/detalleProceso.do?numConstancia=20-12-10584565</t>
  </si>
  <si>
    <t xml:space="preserve">PRESTACION DE SERVICIOS PROFESIONALES PARA APOYAR EN LA REALIZACION DE ESTUDIOS JURIDICOS DE LOS PREDIOS QUE SE ESTABLEZCAN COMO OBJETO DE COMPRA PARA PROTECCION DE FUENTES HIDRICAS ABASTECEDORAS DE AGUA PARA ACUEDUCTOS MUNICIPALES REGIONALES Y DISTRITALES QUE SE FINANCIEN EN RECURSOS PROVENIENTES DE LA LEY 99 DE 1993 Y DECRETOS REGLAMENTARIOS TALES COMO: VERIFICACION DE DOCUMENTOS PROYECCION DE ESCRITURAS Y ESTUDIOS DE TITULOS EN LA SECRETARIA DE AMBIENTE Y DESARROLLO SOSTENIBLE. </t>
  </si>
  <si>
    <t>MARTA LUCIA BRAVO ALMEIDA</t>
  </si>
  <si>
    <t>https://www.contratos.gov.co/consultas/detalleProceso.do?numConstancia=20-12-10460949</t>
  </si>
  <si>
    <t>STEPHANY ANDREA INSUASTY CORDOBA</t>
  </si>
  <si>
    <t xml:space="preserve">PRESTACION DE SERVICIOS PROFESIONALES COMO ABOGADO EN LA SECRETARIA DE PLAENACION DEPARTAMENTAL </t>
  </si>
  <si>
    <t xml:space="preserve">SANDRA CARMENZA BOLAÑOS JURADO </t>
  </si>
  <si>
    <t>https://www.contratos.gov.co/consultas/detalleProceso.do?numConstancia=20-12-10601060</t>
  </si>
  <si>
    <t>EL CONTRATISTA SE COMPROMETE CON EL DEPARTAMENTO A PRESTAR SUS SERVICIOS PROFESIONALES COMO INGENIERA DE SISTEMAS EN LA IMPLEMETACION DE PROCESOS Y ACCIONES QUE CONTRIBUYAN DE MANERA EFECTIVA AL FORTALECIMIENTO DE LA GESTIÓN PUBLICA DE LAS ENTIDADES TERRITORIALES.</t>
  </si>
  <si>
    <t>PAULINA ESTELA GUERRA QUETAMA</t>
  </si>
  <si>
    <t>[{"fecha_suscripcion'":"2020-08-05","fecha_legalizacion":"2020-09-08","tipo Adicion":"Valor","valor":"1.121.024,00","tiempo":"-"}]</t>
  </si>
  <si>
    <t>https://www.contratos.gov.co/consultas/detalleProceso.do?numConstancia=20-12-10597678</t>
  </si>
  <si>
    <t>LA CONTRATISTA SE COMPROMETE CON EL DEPARTAMENTO A PRESTAR SUS SERVICIOS PROFESIONALES COMO ABOGADA, PARA APOYAR ASPECTOS JURIDICOS PRECONTRACTUALES, CONTRACTUALES Y POST CONTRACTUALES COMO TAMBIEN DEMAS ASPECTOS LEGALES DE CAPACITACIONES QUE SE REQUIERA DENTRO DE LAS DISTINTAS FUNCIONES ENCOMENDADAS POR LA SECRETARIA DE PLANEACION DEPARTAMENTAL Y DEMAS QUE DEBAN SER ATENDIDOS POR DICHA DEPENDENCIA.</t>
  </si>
  <si>
    <t>SARITA LORENA LOPEZ RODRIGUEZ</t>
  </si>
  <si>
    <t>https://www.contratos.gov.co/consultas/detalleProceso.do?numConstancia=20-12-10593315</t>
  </si>
  <si>
    <t xml:space="preserve">PRESTACION DE SERVICIOS DE APOYO A LA GESTION EN LA SUBSECRETARIA DE PAZ Y DERECHOS HUMANOS PARA BRINDAR APOYO EN LA IMPLEMENTACION DEL PROYECTO FORTALECIMIENTO DE LA ATENCION A VICTIMAS EN LA CONSTRUCIION COLECTIVA DE PAZ EN EL MARCO DEL POST CONFLICTO COLOMBIANO-II FASE EN EL DEPARTAMENTO DE NARIÑO DENTRO DEL MARCO DE LA SUBVENCION SUSCRITA CON LA AGENCIA CATALANA DE DESARROLLO. LO ANTERIOR DE CONFORMIDAD CON LOS DOCUMENTOS DEL PROCESO QUE HACEN PARTE INTEGRAL DEL CONTRATO. </t>
  </si>
  <si>
    <t>JONHATAN YESHUA DAVILA LOPEZ</t>
  </si>
  <si>
    <t>https://www.contratos.gov.co/consultas/detalleProceso.do?numConstancia=20-12-10590975</t>
  </si>
  <si>
    <t>https://www.contratos.gov.co/consultas/detalleProceso.do?numConstancia=20-12-10574120</t>
  </si>
  <si>
    <t>EL CONTRATISTA, SE OBLIGA A LA PRESTACION DE SUS SERVICIOS CONTABLES, POR SUS PROPIOS MEDIOS, CON PLENA AUTONOMIA TECNICA Y ADMINISTRATIVA, EN ACTIVIDADES QUE APOYEN EL FORTALECIMIENTO DEL BANCO DE PROYECTOS DE INVERSION DEL DEPARTAMENTO DE NARIÑO. LO ANTERIOR DE CONFORMIDAD CON LOS DOCUMENTOS DEL PROCESO, QUE HACEN PARTE INTEGRAL DEL CONTRATO.</t>
  </si>
  <si>
    <t>DENNIS ALEXANDRA MUÑOZ ANDRADE</t>
  </si>
  <si>
    <t>https://www.contratos.gov.co/consultas/detalleProceso.do?numConstancia=20-12-10629611</t>
  </si>
  <si>
    <t>LA CONTRATISTA SE COMPROMETE CON EL DEPARTAMENTO A PRESTAR SUS SERVICIO DE APOYO AL GESTION COMO AUXILIAR EN GESTION ADMINISTRATIVA Y LOGISTICA EN LA SUBSECRETARIA DE ASISTENCIA TECNICA PLANEACION DEL DEPARTAMENTO</t>
  </si>
  <si>
    <t>MAIRA ALEJANDRA VELASQUEZ ERASO</t>
  </si>
  <si>
    <t>https://www.contratos.gov.co/consultas/detalleProceso.do?numConstancia=20-12-10629628</t>
  </si>
  <si>
    <t xml:space="preserve">PRESTACION DE SERVICIOS PROFESIONALES EN LA SUBSECRETARIA DE ASISTENCIA TECNICA PLANEACIIN DEPARTAMENTAL </t>
  </si>
  <si>
    <t>MABEL CECILIA LOAIZA LOPEZ</t>
  </si>
  <si>
    <t>https://www.contratos.gov.co/consultas/detalleProceso.do?numConstancia=20-12-10606670</t>
  </si>
  <si>
    <t>EL CONTRATISTA SE OBLIGA CON EL DEPARTAMENTO A PRESTAR SUS SERVICIOS DE APOYO A LA GESTION COMO AUXILIAR JURIDICO, APOYANDO AL DESPACHO DEL GOBERNADOR DE NARIÑO, EN LA EJECUCION DE ACTIVIDADES JURIDICAS QUE DEBAN SER ATENDIDAS EN DICHA DEPENDENCIA.</t>
  </si>
  <si>
    <t>LUIS CARLOS OJEDA PATIÑO</t>
  </si>
  <si>
    <t>https://www.contratos.gov.co/consultas/detalleProceso.do?numConstancia=20-12-10496610</t>
  </si>
  <si>
    <t xml:space="preserve">EL CONTRATISTA SE COMPROMETE CON EL DEPARTAMENTO A PRESTAR SUS SERVICIOS PROFESIONALES COMO CONTADORA PUBLICA EN LA EJECUCION Y APOYO DEL PROYECTO DE FORTALECIMIENTO DEL SISTEMA DE COMPETITIVIDAD Y CIENCIA TECNOLOGÍA E INNOVACION DEL DEPARTAMENTO DE NARIÑO. </t>
  </si>
  <si>
    <t>ANA LUCIA MEJIA LUCERO</t>
  </si>
  <si>
    <t>[{"fecha_suscripcion'":"2020-08-31","fecha_legalizacion":"2020-09-03","tipo Adicion":"otra","valor":"0","tiempo":"otra-"}]</t>
  </si>
  <si>
    <t>https://www.contratos.gov.co/consultas/detalleProceso.do?numConstancia=20-12-10591225</t>
  </si>
  <si>
    <t>PRESTACION DE SERVICIOS PROFESIONALES COMO ABOGADO APOYANDO EL PROCEDIMIENTO DE LIQUIDACION DE CONTRATOS CONVENIOS Y PROCESOS RELACIONADOS CON LA CONTRATACION Y DEMAS ASPECTOS JURIDICOS QUE DEBAN SER ATENDIDOS EN EL DAC.</t>
  </si>
  <si>
    <t>JOHN JAIR BASANTE SOLARTE</t>
  </si>
  <si>
    <t>https://www.contratos.gov.co/consultas/detalleProceso.do?numConstancia=20-12-10493404</t>
  </si>
  <si>
    <t xml:space="preserve">PRESTACION DE SERVICIOS PROFESIONALES COMO ABOGADA PARA APOYAR EL PROCEDIMIENTO DE LEGALIZACION DE CONTRATOS CONVENIOS Y PROCESOS RELACIONADOS CON LA CONTRATACION Y DEMAS ASPECTOS JURIDICOS QUE DEBAN SER ATENDIDOS EN EL DEPARTAMENTO ADMINISTRATIVO DE CONTRATACION.  </t>
  </si>
  <si>
    <t>ANGELA SOFIA SOLIS GARCIA</t>
  </si>
  <si>
    <t>https://www.contratos.gov.co/consultas/detalleProceso.do?numConstancia=20-12-10493547</t>
  </si>
  <si>
    <t>LA CONTRATISTA SE OBLIGA A PRESTAR SUS SERVICIOS PROFESIONALES PARA EL APOYO EN EL ACOMPAÑAMIENTO Y ASESORÍA DE LOS PROCESOS ADMINISTRATIVOS QUE SE ARTICULEN CON LAS DIFERENTES ENTIDADES DEL ORDEN NACIONAL E INTERNACIONAL, PARA EL IMPULSO DE GESTIÓN DE PROGRAMAS Y PROYECTOS.</t>
  </si>
  <si>
    <t>KAREN ALEJANDRA GALVIS</t>
  </si>
  <si>
    <t>https://www.contratos.gov.co/consultas/detalleProceso.do?numConstancia=20-12-10494464</t>
  </si>
  <si>
    <t>EL CONTRATISTA SE COMPROMETE PARA CON EL DEPARTAMENTO A PRESTAR POR SUS PROPIOS MEDIOS CON PLENA AUTONOMIA TECNICA Y ADMINISTRATIVA SUS SERVICIOS PROFESIONALES COMO ARQUITECTO PARA EL APOYO EN LOS PROCESOS QUE DEBE SURTIR EL ENTE TERRITORIAL EN LA FORMULACION, REVISION, EVALUACION Y APROBACION DE PROYECTOS DE INFRAESTRUCTURA PRESENTADOS A OCAD REGION PACIFICO, PARA SER FINANCIADOS CON RECURSOS DEL SISTEMA GENERAL DE REGALIAS - SGR, PARA EL DEPARTAMENTO DE NARIÑO. LO ANTERIOR DE CONFORMIDAD CON LOS DOCUMENTOS DEL PROCESO, QUE HACEN PARTE INTEGRAL DEL CONTRATO.</t>
  </si>
  <si>
    <t>ROBERTO DARIO VELASCO MELO</t>
  </si>
  <si>
    <t>[{"fecha_suscripcion'":"2020-04-30","fecha_legalizacion":"2020-05-26","tipo Adicion":"otra","valor":"0","tiempo":"otra-"}]</t>
  </si>
  <si>
    <t>https://www.contratos.gov.co/consultas/detalleProceso.do?numConstancia=20-12-10543278</t>
  </si>
  <si>
    <t>EL CONTRATISTA SE COMPROMETE PARA CON EL DEPARTAMENTO A PRESTAR POR SUS PROPIOS MEDIOS CON PLENA AUTONOMÍA TÉCNICA Y ADMINISTRATIVA SUS SERVICIOS PROFESIONALES COMO INGENIERO CIVIL PARA EL APOYO EN EL PROCESO QUE DEBE SURTIR EL ENTE TERRITORIAL EN LA FORMULACIÓN, REVISIÓN, EVALUACIÓN Y APROBACIÓN DE PROYECTOS PRESENTADOS A OCAD REGIÓN PACIFICO, PARA SER FINANCIADOS CON RECURSOS DEL SISTEMA GENERAL DE REGALÍAS - SGR, PARA EL DEPARTAMENTO DE NARIÑO. LO ANTERIOR DE CONFORMIDAD CON LOS DOCUMENTOS DEL PROCESO, QUE HACEN PARTE INTEGRAL DEL CONTRATO.</t>
  </si>
  <si>
    <t>JAVIER LORIMER DELGADO PATIÑO</t>
  </si>
  <si>
    <t>https://www.contratos.gov.co/consultas/detalleProceso.do?numConstancia=20-12-10542786</t>
  </si>
  <si>
    <t xml:space="preserve">LA CONTRATISTA SE COMPROMETE PARA CON EL DEPARTAMENTO A PRESTAR POR SUS PROPIOS MEDIOS CON PLENA AUTONOMIA TECNICA Y ADMINSITRATIVA SUS SERVICIOS PROFESIONALES PARA EL APOYO DE LA SECRETARIA DE PLANEACION EN EL SEGUIMIENTO CONTROL Y EVALUACION SMSCE DEL SITEMA GENERAL DE REGALIAS SGR DE LOS PROYECTOS DEL DEPARTAMENTO DE NARIÑO APROBADOS POR EL OCAD DE LA REGION PACIFICO. LO ANTERIOR DE CONFORMIDAD CON LOS DOCUMENTOS DEL PROCESO QUE HACEN PARTE INTEGRAL DEL CONTRATO. </t>
  </si>
  <si>
    <t>SERGIO DARIO CUASPA IBARRA</t>
  </si>
  <si>
    <t>https://www.contratos.gov.co/consultas/detalleProceso.do?numConstancia=20-12-10607013</t>
  </si>
  <si>
    <t>EL CONTRATISTA SE COMPROMETE PARA CON EL DEPARTAMENTO A PRESTAR POR SUS PROPIOS MEDIOS CON PLENA AUTONOMÍA TÉCNICA Y ADMINISTRATIVA, SUS SERVICIOS PROFESIONALES COMO ABOGADO PARA LA REVISIÓN JURÍDICA DE LOS PROYECTOS SUSCEPTIBLES DE SER FINANCIADOS CON RECURSOS DEL SISTEMA GENERAL DE REGALÍAS - SGR, PARA EL DEPARTAMENTO DE NARIÑO. LO ANTERIOR DE CONFORMIDAD CON LOS DOCUMENTOS DEL PROCESO, QUE HACEN PARTE INTEGRAL DEL CONTRATO.</t>
  </si>
  <si>
    <t>WILBER ANDERSON SANTACRUZ MENESES</t>
  </si>
  <si>
    <t>https://www.contratos.gov.co/consultas/detalleProceso.do?numConstancia=20-12-10543435</t>
  </si>
  <si>
    <t xml:space="preserve">PRETACIONDE SERVICIOS PROFESIONALES COMO ABOGAS PARA EL APOYO EN LA SUBSECRETARIA DE ASISTENCIA TECNICA DEL DEPARTAMENTO FRENTE A TRAMITES Y PROCESOS RELACIONADOSO CON LA CONTRATACION Y DEMAS ASPECTOS JURIDICOS QUE DEBAN SER ATENDIDOS EL AREA DE DESEMPEÑO </t>
  </si>
  <si>
    <t>LUIS ADOLFO ROSERO SALAZAR</t>
  </si>
  <si>
    <t>https://www.contratos.gov.co/consultas/detalleProceso.do?numConstancia=20-12-10580289</t>
  </si>
  <si>
    <t xml:space="preserve">LA CONTRATISTA, SE COMPROMETE PARA CON EL DEPARTAMENTO A PRESTAR, POR SUS PROPIOS MEDIOS, CON PLENA AUTONOMÍA TÉCNICA Y ADMINISTRATIVA, SUS SERVICIOS PROFESIONALES COMO INGENIERO CIVIL PARA EL APOYO DE LOS PROYECTOS CON PLANES DE MEJORAMIENTO DEL DNP Y OTROS ORGANISMOS DE CONTROL, FINANCIADOS CON RECURSOS DE SISTEMA GENERAL DE REGALÍAS -SGR, PARA EL DEPARTAMENTO DE NARIÑO. LO ANTERIOR DE CONFORMIDAD CON LOS DOCUMENTOS DEL PROCESO, QUE HACEN PARTE INTEGRAL DEL CONTRATO.
</t>
  </si>
  <si>
    <t>DARIO FERNANDO ESCOBAR PEREZ</t>
  </si>
  <si>
    <t>https://www.contratos.gov.co/consultas/detalleProceso.do?numConstancia=20-12-10636400</t>
  </si>
  <si>
    <t xml:space="preserve">LA CONTRATISTA SE COMPROMETE CON EL DEPARTAMENTO A PRESTAR POR SUS PROPIOS MEDIOS SUS SERVICIOS PROFESIONALES COMO INGENIERO DE SISTEMAS, PARA EL APOYO EN EL SEGUIMIENTO DE LOS PROYECTOS DE CIENCIA TECNOLOGÍA E INNOVACIÓN, FINANCIADOS CON RECURSOS DEL SISTEMA GENERAL DE REGALIAS - SGR, PARA EL DEPARTAMENTO DE NARIÑO Y CARGUE DE INFORMACIÓN SIRECI. LO ANTERIOR DE CONFORMIDAD CON LOS DOCUMENTOS DEL PROCESO, QUE HACEN PARTE INTEGRAL DEL CONTRATO.
</t>
  </si>
  <si>
    <t>RICARDO ANDRES AGUIRRE TOBAR</t>
  </si>
  <si>
    <t>https://www.contratos.gov.co/consultas/detalleProceso.do?numConstancia=20-12-10554701</t>
  </si>
  <si>
    <t>LA CONTRATISTA SE COMPROMETE CON EL DEPARTAMENTO A PRESTAR POR SUS PROPIOS MEDIOS, CON PLENA AUTONOMÍA TÉCNICA Y ADMINISTRATIVA, SUS SERVICIOS PROFESIONALES COMO ADMINISTRADORA DE EMPRESAS PARA EL APOYO Y SEGUIMIENTO DE LOS PROYECTOS DEL FONDO DE DESARROLLO REGIONAL, DEL SISTEMA GENERAL DE REGALÍAS - SGR PARA EL DEPARTAMENTO DE NARIÑO. LO ANTERIOR DE CONFORMIDAD CON LOS DOCUMENTOS DEL PROCESO, QUE HACEN PARTE INTEGRAL DEL CONTRATO.</t>
  </si>
  <si>
    <t>ANA ISABEL OLIVA ORTEGA</t>
  </si>
  <si>
    <t>https://www.contratos.gov.co/consultas/detalleProceso.do?numConstancia=20-12-10540145</t>
  </si>
  <si>
    <t>EL CONTRATISTA SE COMPROMETE CON EL DEPARTAMENTO A PRESTAR POR SUS PROPIOS MEDIOS SUS SERVICIOS PROFESIONALES  PARA EL APOYO EN EL PROCESO QUE DEBE SURTIR EL ENTE TERRITORIAL EN LA FORMULACIÓN REVISION EVALUACION Y APROBACION DE PROYECTOS PRESENTADOS A OCAD REGION PACIFICO PARA SER FINANCIADOS CON RECURSOS DEL SISTEMA DE REGALIAS SGR PARA EL DEPARTAMENTO DE NARIÑO.</t>
  </si>
  <si>
    <t>JOSE FERNANDO ALMEIDA MORENO</t>
  </si>
  <si>
    <t>[{"fecha_suscripcion'":"2020-02-25","fecha_legalizacion":"2020-05-05","tipo Adicion":"otra","valor":"0","tiempo":"otra-"}]</t>
  </si>
  <si>
    <t>https://www.contratos.gov.co/consultas/detalleProceso.do?numConstancia=20-12-10490103</t>
  </si>
  <si>
    <t xml:space="preserve">LA CONTRATISTA SE COMPROMETE CON EL DEPARTAMENTO A PRESTAR POR SUS PROPIOS MEDIOS SUS SERVICIOS PROFESIONALES CON EL FIN DE COADYUVAR EN EL DESARROLLO DE PROGRAMAS Y ACTIVIDADES QUE SE EJECUTEN POR EL EQUIPO DEL SISTEMA GENERAL DE REGALIAS DE LA SECRETARIA DE PLANEACION. </t>
  </si>
  <si>
    <t>DAVID TAPIA LOPEZ</t>
  </si>
  <si>
    <t>https://www.contratos.gov.co/consultas/detalleProceso.do?numConstancia=20-12-10591123</t>
  </si>
  <si>
    <t xml:space="preserve">PRESTACION DE SERVICIOS PROFESIONALES COMO ABOGADO DE APOYO EN LA COORDINACION JURIDICA DE PROYECTOS FINANCIADOS CON RECURSOS DEL SISTEMA GENERAL DE REGALIAS APROBADOS POR EL ORGANO COLEGIADO DE ADMINSITRACION Y DECISION OCAD DE LA REGION PACIFICO Y EJECUTADOS POR EL DEPARTAMENTO DE NARIÑO. LO ANTERIOR DE CONFORMIDAD CON LOS DOCUMENTOS QUE HACEN PARTE DEL PROCESO </t>
  </si>
  <si>
    <t>INGRID SHIRLEY MANRIQUE</t>
  </si>
  <si>
    <t>https://www.contratos.gov.co/consultas/detalleProceso.do?numConstancia=20-12-10620675</t>
  </si>
  <si>
    <t>EL CONTRATISTA SE OBLIGA A PRESTAR SUS SERVICIOS PROFESIONALES COMO CONTADOR PUBLICO, A FIN DE APOYAR LA REVISIÓN DE LA INFORMACIÓN CONTABLE Y FINANCIERA GENERADA EN LOS PROCESOS DE CONTRATACIÓN ADELANTADOS POR EL DEPARTAMENTO DE  NARIÑO, ASÍ COMO EL APOYO EN ANÁLISIS ECONÓMICO Y DEL SECTOR DE LOS PROCESOS QUE SE REQUIERAN. LO ANTERIOR DE CONFORMIDAD CON LOS DOCUMENTOS DEL PROCESO, QUE HACEN PARTE INTEGRAL DEL CONTRATO.</t>
  </si>
  <si>
    <t>EDWARD ALEXANDER BURBANO BURBANO</t>
  </si>
  <si>
    <t>https://www.contratos.gov.co/consultas/detalleProceso.do?numConstancia=20-12-10555081</t>
  </si>
  <si>
    <t>EL CONTRATISTA, SE COMPROMETE PARA CON EL DEPARTAMENTO A PRESTAR, POR SUS PROPIOS MEDIOS, CON PLENA AUTONOMÍA TÉCNICA Y ADMINISTRATIVA, SUS SERVICIOS PROFESIONALES COMO ADMINISTRADOR DE EMPRESAS PARA EL APOYO EN EL PROCESO QUE DEBE SURTIR EL ENTE TERRITORIAL EN LA FORMULACIÓN, REVISIÓN, EVALUACIÓN Y APROBACIÓN DE PROYECTOS DE SALUD, EDUCACIÓN SUPERIOR, INCLUSIÓN SOCIAL, RECREACIÓN Y DEPORTE, JUSTICIA Y DERECHO, CIUDAD Y TERRITORIO, COMERCIO, INDUSTRIA Y TURISMO PRESENTADOS A OCAD REGIÓN PACIFICO, PARA SER FINANCIADOS CON RECURSOS DE SISTEMA GENERAL DE REGALÍAS – SGR, PARA EL DEPARTAMENTO DE NARIÑO.</t>
  </si>
  <si>
    <t>JARO EVERALDO BURBANO CALDERON</t>
  </si>
  <si>
    <t>[{"fecha_suscripcion'":"2020-05-28","fecha_legalizacion":"2020-06-17","tipo Adicion":"otra","valor":"0","tiempo":"otra-"}]</t>
  </si>
  <si>
    <t>https://www.contratos.gov.co/consultas/detalleProceso.do?numConstancia=20-12-10540226</t>
  </si>
  <si>
    <t>EL O LA CONTRATISTA, SE COMPROMETE PARA CON EL DEPARTAMENTO A PRESTAR, POR SUS PROPIOS MEDIOS, CON PLENA AUTONOMIA TECNICA Y ADMINISTRATIVA, SUS SERVICIOS PROFESIONALES COMO INGENIERA AGRO INDUSTRIAL PARA EL APOYO EN EL PROCESO QUE DEBE SURTIR EL ENTE TERRITORIAL EN LA FORMULACION, REVISION, EVALUACION Y APROBACION DE PROYECTOS EDUCATIVOS PRESENTADOS A OCAD REGION PACIFICO, PARA SER FINANCIADOS CON RECURSOS DE SISTEMA GENERAL DE REGALIAS SGR, PARA EL DEPARTAMENTO DE NARIÑO. LO ANTERIOR DE CONFORMIDAD CON LOS DOCUMENTOS DEL PROCESO, QUE HACEN PARTE INTEGRAL DEL CONTRATO.</t>
  </si>
  <si>
    <t>MONICA LORENA CANCHALA CASTRO</t>
  </si>
  <si>
    <t>https://www.contratos.gov.co/consultas/detalleProceso.do?numConstancia=20-12-10550964</t>
  </si>
  <si>
    <t>LA CONTRATISTA, SE COMPROMETE PARA CON EL DEPARTAMENTO A PRESTAR, POR SUS PROPIOS MEDIOS, CON PLENA AUTONOMÍA TÉCNICA Y ADMINISTRATIVA, SUS SERVICIOS PROFESIONALES COMO ADMINISTRADOR DE EMPRESAS PARA EL APOYO EN EL PROCESO QUE DEBE SURTIR EL ENTE TERRITORIAL EN LA FORMULACIÓN, REVISIÓN, EVALUACIÓN Y APROBACIÓN DE PROYECTOS PRODUCTIVOS, MEDIO AMBIENTE, RIESGOS, MINAS Y ENERGÍA, CULTURA, DEFENSA Y POLICÍA, PRESENTADOS A OCAD REGIÓN PACÍFICO, PARA SER FINANCIADOS CON RECURSOS DE SISTEMA GENERAL DE REGALÍAS – SGR, PARA EL DEPARTAMENTO DE NARIÑO. LO ANTERIOR DE CONFORMIDAD CON LOS DOCUMENTOS DEL PROCESO, QUE HACEN PARTE INTEGRAL DEL CONTRATO.</t>
  </si>
  <si>
    <t>DIANA LIZETH ENRIQUEZ CUASPUD</t>
  </si>
  <si>
    <t>https://www.contratos.gov.co/consultas/detalleProceso.do?numConstancia=20-12-10540427</t>
  </si>
  <si>
    <t xml:space="preserve">LA CONTRATISTA, SE COMPROMETE PARA CON EL DEPARTAMENTO A PRESTAR, POR SUS PROPIOS MEDIOS, CON PLENA AUTONOMíA TéCNICA Y ADMINISTRATIVA, SUS SERVICIOS PROFESIONALES COMO ABOGADA PARA EL APOYO JURIDICO DE LOS PROYECTOS DONDE EL DEPARTAMENTO FUE DESIGNADO INSTRANCIA ENCARGADA DE LA CONTRATACION DE LA INTERVENTORIA  FINANCIADOS POR EL SGR.  LO ANTERIOR DE CONFORMIDAD CON LOS DOCUMENTOS DEL PROCESO, QUE HACEN PARTE INTEGRAL DEL CONTRATO </t>
  </si>
  <si>
    <t>LESLIE JULIETH OLIVA LATORRE</t>
  </si>
  <si>
    <t>https://www.contratos.gov.co/consultas/detalleProceso.do?numConstancia=20-12-10580702</t>
  </si>
  <si>
    <t xml:space="preserve">EL CONTRATISTA DEBE PRESTAR POR SUS PROPIOS MEDIOS, CON PLENA AUTONOMíA TéCNICA Y ADMINISTRATIVA, SUS SERVICIOS PROFESIONALES COMO ABOGADO DE LA SECRETARíA DE RECREACIóN Y DEPORTE DEL DEPARTAMENTO DE NARIñO, PARA ATENDER TODOS LOS ASUNTOS RELACIONADOS CON PROCESOS CONTRACUALES, JUDICIALES Y DEMáS ACTUACIONES JURíDICAS ENCOMENDADAS A DICHA DEPENDENCIA. </t>
  </si>
  <si>
    <t>JORGE IVAN PINZA HIDALGO</t>
  </si>
  <si>
    <t>https://www.contratos.gov.co/consultas/detalleProceso.do?numConstancia=20-12-10601158</t>
  </si>
  <si>
    <t>EL CONTRATISTA DEBE PRESTAR POR SUS PROPIOS MEDIOS, CON PLENA AUTONOMIA TECNICA Y ADMINISTRATIVA, SUS SERVICIOS DE APOYO A LA GESTION A LA SECRETARIA DE RECREACION Y DEPORTE DEL DEPARTAMENTO DE NARIÑO, EN ASUNTOS RELACIONADOS EN PROCESOS ADMINISTRATIVOS Y FINANCIEROS ASIGNADOS A ESTA DEPENDENCIA.</t>
  </si>
  <si>
    <t>JORGE ARMANDO GONZALEZ GARCES</t>
  </si>
  <si>
    <t>https://www.contratos.gov.co/consultas/detalleProceso.do?numConstancia=20-12-10608237</t>
  </si>
  <si>
    <t>EL CONTRATISTA DEBE PRESTAR POR SUS PROPIOS MEDIOS, CON PLENA AUTONOMIA TECNICA Y ADMINISTRATIVA, SU SERVICIOS PERSONALES DE APOYO A LA GESTION PARA LA EJECUCION DE ACTIVIDADES ASISTENCIALES Y OPERATIVAS NECESARIAS PARA EL CORRECTO FUNCIONAMIENTO DE LOS PROYECTOS Y PROGRAMAS ADELANTADOS POR LA SECRETARIA DE RECREACION Y DEPORTE DE LA GOBERNACION DE NARIÑO.</t>
  </si>
  <si>
    <t>FAVIAN ERNESTO URBANO MUÑOZ</t>
  </si>
  <si>
    <t>https://www.contratos.gov.co/consultas/detalleProceso.do?numConstancia=20-12-10636271</t>
  </si>
  <si>
    <t xml:space="preserve">EL CONTRATISTA DEBE PRESTAR POR SUS PROPIOS MEDIOS, CON PLENA AUTONOMíA TéCNICA Y ADMINISTRATIVA, SUS SERVICIOS PERSONALES DE APOYO A LA GESTIóN PARA REALIZAR LABORES DE CUIDADO, COORDINACIóN PARA SU USO Y EN GENERAL APOYAR LAS LABORES ADMINISTRATIVAS DEL COLISEO ÁLVARO ZARAMA MEDINA, UBICADO EN EL SECTOR SUR ORIENTAL DE LA CIUDAD DE PASTO (N) Y CUYA ADMINISTRACIóN RADICA EN LA SECRETARíA DE RECREACIóN Y DEPORTE DE LA GOBERNACIóN DE NARIñO. </t>
  </si>
  <si>
    <t>LENIN BLADIMIR PEREIRA CALVACHE</t>
  </si>
  <si>
    <t>https://www.contratos.gov.co/consultas/detalleProceso.do?numConstancia=20-12-10591185</t>
  </si>
  <si>
    <t xml:space="preserve">EL CONTRATISTA DEBE PRESTAR POR SUS PROPIOS MEDIOS CON PLENA AUTONOMíA TéCNICA Y ADMINISTRATIVA, SUS SERVICIOS DE LICENCIADO EN EDUCACIóN FíSICA, PARA EL APOYO A LA SECRETARíA DE RECREACIóN Y DEPORTE EN LA ATENCIóN DE ASUNTOS ADMINISTRATIVOS DE LAS DIFERENTES LIGAS DEPORTIVAS, Y EN APOYO A LAS LABORES DEL GRUPO METODOLóGICO. </t>
  </si>
  <si>
    <t>LUIS CARLOS LINARES HERNANDEZ</t>
  </si>
  <si>
    <t>https://www.contratos.gov.co/consultas/detalleProceso.do?numConstancia=20-12-10601191</t>
  </si>
  <si>
    <t xml:space="preserve">EL CONTRATISTA DEBE PRESTAR POR SUS PROPIOS MEDIOS CON PLENA AUTONOMíA TéCNICA Y ADMINISTRATIVA, SUS SERVICIOS DE LICENCIADO EN EDUCACIóN FíSICA, PARA EL APOYO A LA SECRETARíA DE RECREACIóN Y DEPORTE EN ASUNTOS RELACIONADOS CON EL MEJORAMIENTO DEL DEPORTE, COMO METODóLOGO DEPORTIVO DEL DEPORTE ASOCIADO EN EL DEPARTAMENTO DE NARIñO. </t>
  </si>
  <si>
    <t>CIRO JEFFERSON REINOSO JOJOA</t>
  </si>
  <si>
    <t>https://www.contratos.gov.co/consultas/detalleProceso.do?numConstancia=20-12-10592023</t>
  </si>
  <si>
    <t>LUIS FERNANDO BOTINA OCAñA</t>
  </si>
  <si>
    <t>https://www.contratos.gov.co/consultas/detalleProceso.do?numConstancia=20-12-10585594</t>
  </si>
  <si>
    <t>EDISON ALEXANDER REALPE MORA</t>
  </si>
  <si>
    <t>https://www.contratos.gov.co/consultas/detalleProceso.do?numConstancia=20-12-10592911</t>
  </si>
  <si>
    <t xml:space="preserve">EL CONTRATISTA DEBE PRESTAR POR SUS PROPIOS MEDIOS CON PLENA AUTONOMíA TéCNICA Y ADMINISTRATIVA, SUS SERVICIOS PARA EL APOYO A LA SECRETARíA DE RECREACIóN Y DEPORTE EN ASUNTOS RELACIONADOS CON EL MEJORAMIENTO DEL DEPORTE, COMO METODóLOGO DEPORTIVO DEL DEPORTE ASOCIADO EN EL DEPARTAMENTO DE NARIñO. </t>
  </si>
  <si>
    <t>JAIME FERNANDO CABRERA CABRERA</t>
  </si>
  <si>
    <t>https://www.contratos.gov.co/consultas/detalleProceso.do?numConstancia=20-12-10592206</t>
  </si>
  <si>
    <t xml:space="preserve">EL CONTRATISTA SE COMPROMETE A PRESTAR SUS SERVICIOS PERSONALES DE APOYO A LA GESTIóN CON PLENA AUTONOMíA TéCNICA Y ADMINISTRATIVA CON EXPERIENCIA EN DEPORTE PARALíMPICO, COMO APOYO A LA SECRETARíA DE RECREACIóN Y DEPORTE DEL DEPARTAMENTO DE NARIñO EN ASUNTOS RELACIONADOS CON PROGRAMAS O ACCIONES PARA EL FOMENTO Y DESARROLLO DE LA INCLUSIóN EN EL DEPORTE, LA RECREACIóN Y LA ACTIVIDAD FíSICA ADAPTADA A LA POBLACIóN EN SITUACIóN DE DISCAPACIDAD. </t>
  </si>
  <si>
    <t>DIEGO FERNANDO CORTES BERNAL</t>
  </si>
  <si>
    <t>https://www.contratos.gov.co/consultas/detalleProceso.do?numConstancia=20-12-10594096</t>
  </si>
  <si>
    <t>HAROLD FERNANDO RIVERA CHAMORRO</t>
  </si>
  <si>
    <t>https://www.contratos.gov.co/consultas/detalleProceso.do?numConstancia=20-12-10592302</t>
  </si>
  <si>
    <t xml:space="preserve">LA CONTRATISTA DEBE PRESTAR POR SUS PROPIOS MEDIOS CON PLENA AUTONOMíA TéCNICA Y ADMINISTRATIVA, SUS SERVICIOS DE LICENCIADA EN EDUCACIóN FíSICA, PARA EL APOYO A LA SECRETARíA DE RECREACIóN Y DEPORTE EN ASUNTOS RELACIONADOS CON EL MEJORAMIENTO DEL DEPORTE, COMO METODóLOGO DEPORTIVO DEL DEPORTE ASOCIADO EN EL DEPARTAMENTO DE NARIñO. </t>
  </si>
  <si>
    <t>EVELIN ESTEFANY BENAVIDES BRAVO</t>
  </si>
  <si>
    <t>https://www.contratos.gov.co/consultas/detalleProceso.do?numConstancia=20-12-10592329</t>
  </si>
  <si>
    <t xml:space="preserve">LA CONTRATISTA DEBE PRESTAR POS SUS PROPIOS MEDIOS CON PLENA AUTONOMIA TECNICA Y ADMINISTRATIVA, SUS SERVICIOS COMO FISIOTERAPEUTA PARA LA ATENCION A LOS DEPORTISTAS DE LAS DISCIPLINAS PRIORIZADAS POR LA SECRETARIA DE RECREACION Y DEPORTE DEL DEPARTAMENTO DE NARIÑO, CON LA FINALIDAD DE LOGRAR UNA ATENCION INTEGRAL DE ALTOS LOGROS DEL DEPORTE CONVENCIONAL Y PARANACIONAL. </t>
  </si>
  <si>
    <t>VANYANI GISETH PEREZ ALVARADO</t>
  </si>
  <si>
    <t>https://www.contratos.gov.co/consultas/detalleProceso.do?numConstancia=20-12-10608301</t>
  </si>
  <si>
    <t>LA CONTRATISTA DEBE PRESTAR POR SUS PROPIOS MEDIOS CON PLENA AUTONOMIA TECNICA Y ADMINISTRATIVA, SUS SERVICIOS PROFESIONALES COMO FISIOTERAPETUTA PARA LA ATENCION A LOS DEPORTISTAS DE LAS DISCIPLINAS PRIORIZADAS POR LA SECRETARIA DE RECREACION Y DEPORTE DEL DEPARTAMENTO DE NARIÑO, CON LA FINALIDAD DE LOGRAR UNA ANTENCION INTEGRAL DEPORTIVA DE ALTOS LOGROS DEL DEPORTE CONVENCIONAL Y PARANACIONAL.</t>
  </si>
  <si>
    <t>CLAUDIA XIMENA MOLINA ARELLANO</t>
  </si>
  <si>
    <t>https://www.contratos.gov.co/entidades/SiguienteFase.do?nc=20-12-10601217</t>
  </si>
  <si>
    <t xml:space="preserve">EL CONTRATISTA DEBE PRESTAR POR SUS PROPIOS MEDIOS, CON PLENA AUTONOMíA TéCNICA Y ADMINISTRATIVA, SUS SERVICIOS DE LICENCIADO EN EDUCACIóN FíSICA, COMO APOYO A LOS PROGRAMAS INSTITUCIONALES DENTRO DEL COMPONENTE DEL PLAN DEPARTAMENTAL DE CAPACITACIóN Y ORGANIZACIóN DE LOS EVENTOS DEPORTIVOS QUE DESARROLLE LA SECRETARíA DE RECREACIóN Y DEPORTE DEL DEPARTAMENTO DE NARIñO. </t>
  </si>
  <si>
    <t>RICARDO ANDRES JOJOA JOJOA</t>
  </si>
  <si>
    <t>https://www.contratos.gov.co/consultas/detalleProceso.do?numConstancia=20-12-10594534</t>
  </si>
  <si>
    <t xml:space="preserve">EL CONTRATISTA DEBE PRESTAR POR SUS PROPIOS MEDIOS, CON AUTONOMíA TéCNICA Y ADMINISTRATIVA, SUS SERVICIOS COMO LICENCIADO EN EDUCACIóN FíSICA, COMO APOYO A LA GESTIóN DE LA SECRETARíA DE RECREACIóN Y DEPORTE DEL DEPARTAMENTO DE NARIñO, PARA LA EJECUCIóN DE LOS PROGRAMAS INSTITUCIONALES DEL DEPORTE, ESPECIALMENTE EN EL COMPONENTE RECREATIVO EN EL DESARROLLO DEL PROGRAMA SUPéRATE INTERCOLEGIADOS 2020. </t>
  </si>
  <si>
    <t>LUIS EDUARDO ENRIQUEZ BRAND</t>
  </si>
  <si>
    <t>https://www.contratos.gov.co/consultas/detalleProceso.do?numConstancia=20-12-10592352</t>
  </si>
  <si>
    <t xml:space="preserve">EL CONTRATISTA DEBE PRESTAR POR SUS PROPIOS MEDIOS CON PLENA AUTONOMíA TéCNICA Y ADMINISTRATIVA, SUS SERVICIOS DE APOYO  A LA GESTIóN DE LA SECRETARíA DE RECREACIóN Y DEPORTE DEL DEPARTAMENTO DE NARIñO, PARA REALIZAR EL PROCESO DE ARTICULACIóN DEL PROGRAMA SUPERATE INTERCOLEGIADOS 2020. </t>
  </si>
  <si>
    <t>JORGE HERNANDO VIDAL BUESAQUILLO</t>
  </si>
  <si>
    <t>https://www.contratos.gov.co/consultas/detalleProceso.do?numConstancia=20-12-10592506</t>
  </si>
  <si>
    <t>EL CONTRATISTA DEBE PRESTAR POR SUS PROPIOS MEDIOS, CON PLENA AUTONOMIA TECNICA Y ADMINISTRATIVA, SUS SERVICIOS DE LICENCIADO EN EDUCACION FISICA COMO APOYO A LA GESTION DE LA SECRETARIA DE RECREACION Y DEPORTE, PARA REALIZAR ACTIVIDADES DE FOMENTO DEPORTIVO EN LOS MUNICIPIOS UBICADOS EN LAS ZONAS SUR Y OCCIDENTE DEL DEPARTAMENTO DE NARIÑO.</t>
  </si>
  <si>
    <t>JANNIER ANDRES MADROÑERO BENAVIDES</t>
  </si>
  <si>
    <t>https://www.contratos.gov.co/consultas/detalleProceso.do?numConstancia=20-12-10601242</t>
  </si>
  <si>
    <t xml:space="preserve">EL CONTRATISTA DEBE PRESTAR POR SUS PROPIOS MEDIOS, CON PLENA AUTONOMíA TéCNICA Y ADMINISTRATIVA, SUS SERVICIOS DE LICENCIADO EN EDUCACIóN FíSICA COMO APOYO A LA GESTIóN DE LA SECRETARíA DE RECREACIóN Y DEPORTE, PARA REALIZAR ACTIVIDADES DE RECREACIóN Y FOMENTO DEPORTIVO EN LOS MUNICIPIOS UBICADOS EN LAS ZONAS CENTRO Y NORTE DEL DEPARTAMENTO DE NARIñO. </t>
  </si>
  <si>
    <t>LEYDER HERNANDO QUIROZ ARTEAGA</t>
  </si>
  <si>
    <t>https://www.contratos.gov.co/consultas/detalleProceso.do?numConstancia=20-12-10596189</t>
  </si>
  <si>
    <t>EL CONTRATISTA SE OBLIGA POR SUS PROPIOS MEDIOS, CON PLENA AUTONOMIA TECNICA Y ADMINISTRATIVA, LOS SERVICIOS PERSONALES COMO PROFESIONAL EN DEPORTE Y ACTIVIDAD FISICA PARA LA SECRETARIA DE RECREACION Y DEPORTE, PARA LA EJECUCION DEL PROGRAMA ZARANDEATE NARIÑO 2020, COMO MONITOR EN LOS MUNICIPIOS DE SAN PABLO Y COLON GENOVA DEL DEPARTAMENTO DE NARIÑO.</t>
  </si>
  <si>
    <t>PABLO ADOLFO MUÑOZ LASSO</t>
  </si>
  <si>
    <t>https://www.contratos.gov.co/consultas/detalleProceso.do?numConstancia=20-12-10601268</t>
  </si>
  <si>
    <t xml:space="preserve">EL CONTRATISTA DEBE PRESTAR POR SUS PROPIOS MEDIOS, CON AUTONOMíA TéCNICA Y ADMINISTRATIVA, SUS SERVICIOS PERSONALES PARA LA SECRETARíA DE RECREACIóN Y DEPORTE DEL DEPARTAMENTO DE NARIñO, PARA APOYAR EN LA EJECUCIóN DE LOS COMPONENTES PEDAGóGICOS Y DE ENSEñANZA DE LOS PROGRAMAS DE ADULTO MAYOR Y DEPORTE SOCIAL COMUNITARIO. </t>
  </si>
  <si>
    <t>MARCO AURELIO GALINDEZ NARVAEZ</t>
  </si>
  <si>
    <t>https://www.contratos.gov.co/consultas/detalleProceso.do?numConstancia=20-12-10601291</t>
  </si>
  <si>
    <t>LA CONTRATISTA DEBE PRESTAR POR SUS PROPIOS MEDIOS, CON PLENA AUTONOMIA TECNICA Y ADMINISTRATIVA, SUS SERVICIOS DE APOYO A LA GESTION EN ASUNTOS RELACIONADOS CON LA PROMOCION PROMOTOR DE LOS FESTIVALES ESCOLARES, EVENTOS RECREATIVOS Y DEMAS PROGRAMAS INSTITUCIONALES DE LA SECRETARIA DE RECREACION Y DEPORTE DEL DEPARTAMENTO DE NARIÑO.</t>
  </si>
  <si>
    <t>ZULEIMY BOLAÑOS SOLARTE</t>
  </si>
  <si>
    <t>2020-10-10</t>
  </si>
  <si>
    <t>https://www.contratos.gov.co/consultas/detalleProceso.do?numConstancia=20-12-10608340</t>
  </si>
  <si>
    <t xml:space="preserve">EL CONTRATISTA DEBE PRESTAR POR SUS PROPIOS MEDIOS, CON PLENA AUTONOMíA TéCNICA Y ADMINISTRATIVA, SUS SERVICIOS DE APOYO A LA GESTIóN EN ASUNTOS RELACIONADOS CON LA PROMOCIóN (PROMOTOR) DE LOS FESTIVALES ESCOLARES, EVENTOS RECREATIVOS Y DEMáS PROGRAMAS INSTITUCIONALES DE LA SECRETARíA DE RECREACIóN Y DEPORTE DEL DEPARTAMENTO DE NARIñO. </t>
  </si>
  <si>
    <t>VICTOR ARTURO ROSERO MIDEROS</t>
  </si>
  <si>
    <t>https://www.contratos.gov.co/consultas/detalleProceso.do?numConstancia=20-12-10597132</t>
  </si>
  <si>
    <t xml:space="preserve">PRESTACION DE SERVICIOS PROFESIONALES PARA EL APOYO EN LAS GESTIONES Y TRAMITES ADMINISTRATIVOS Y FINANCIEROS DE LA SUBSECRETARIA DE TRANSITO Y TRANSPORTE DEPARTAMENTAL DE ACUERDO CON LA EXPERIENCIA E IDONEIDAD ACREDITADA. LO ANTERIOR DE CONFORMIDAD CON LOS DOCUMENTOS DEL PROCESO, QUE HACEN PARTE INTEGRAL DEL CONTRATO.
</t>
  </si>
  <si>
    <t>CARLOS MIGUEL HERNANDEZ ORTEGA</t>
  </si>
  <si>
    <t>https://www.contratos.gov.co/consultas/detalleProceso.do?numConstancia=20-12-10563803</t>
  </si>
  <si>
    <t>EL CONTRATISTA SE OBLIGA CON EL DEPARTAMENTO A PRESTAR SUS SERVICIOS DE APOYO A LA GESTION EN LA SUBSECRETARIA DE RENTAS, EN EL PROCESO DE DETERMINACION Y LIQUIDACION DE IMPUESTOS DE REGISTRO Y VEHICULOS AUTOMOTORES EN EL DEPARTAMENTO DE NARIÑO Y LAS DEMAS ACTIVIDADES QUE SE DERIVEN DE ESTE. LO ANTERIOR DE CONFORMIDAD CON LOS DOCUMENTOS DEL PROCESO, QUE HACEN PARTE INTEGRAL DEL CONTRATO.</t>
  </si>
  <si>
    <t>GABRIEL LEYTON CABRERA</t>
  </si>
  <si>
    <t>https://www.contratos.gov.co/consultas/detalleProceso.do?numConstancia=20-12-10629727</t>
  </si>
  <si>
    <t>EL CONTRATISTA SE OBLIGA CON EL DEPARTAMENTO A PRESTAR SUS SERVICIOS DE APOYO A LA GESTION DE LA SUSBECRETARIA DE RENTAS EN EL PROCESO DE DETERMINACION Y LIQUIDACION DE LOS IMPUESTOS DE REGISTRO DE VEHICULOS AUTOMOTORES EN EL DEPARTAMENTO DENARIÑO Y DEMAS ACTIVIDADES QUE SE DERIVEN DE ESTE. LO ANTERIOR DE CONFORMIDAD CON LOS DOCUMENOTS QUE HACEN PARTE INTEGRAL DEL CONTRATO.</t>
  </si>
  <si>
    <t>ESPERANAZA DEL CARMEN VALLEJOS MERA</t>
  </si>
  <si>
    <t>https://www.contratos.gov.co/consultas/detalleProceso.do?numConstancia=20-12-10629279</t>
  </si>
  <si>
    <t xml:space="preserve">EL CONTRATISTA SE OBLIGA CON EL DEPARTAMENTO A PRESTAR SUS SERVICIOS DE APOYO A LA GESTION DE LA SUSBECRETARIA DE RENTAS EN EL PROCESO DE DETERMINACION Y LIQUIDACION DE LOS IMPUESTOS DE REGISTRO DE VEHICULOS AUTOMOTORES EN EL DEPARTAMENTO DENARIÑO Y DEMAS ACTIVIDADES QUE SE DERIVEN DE ESTE. LO ANTERIOR DE CONFORMIDAD CON LOS DOCUMENOTS QUE HACEN PARTE INTEGRAL DEL CONTRATO </t>
  </si>
  <si>
    <t>ANDRES FELIPE REALPE PANTOJA</t>
  </si>
  <si>
    <t>https://www.contratos.gov.co/consultas/detalleProceso.do?numConstancia=20-12-10620719</t>
  </si>
  <si>
    <t>EL CONTRATISTA SE OBLIGA CON EL DEPARTAMENTO A PRESTAR SUS SERVICIOS DE APOYO A LA GESTION DE LA SUBSECRETARIA DE RENTAS EN EL PROCESO DE DETERMINACION Y LIQUIDACION DE LOS IMPUESTOS DE REGISTRO DE VEHICULOS AUTOMOTORES EN EL DEPARTAMENTO DE NARIÑO Y DEMAS ACTIVIDADES QUE SE DERIVEN DE ESTE. LO ANTERIOR DE CONFORMIDAD CON LOS DOCUMENTOS QUE HACEN PARTE INTEGRAL DEL CONTRATO.</t>
  </si>
  <si>
    <t>MARIO HARLEY RODRIGUEZ MATABAJOY</t>
  </si>
  <si>
    <t>https://www.contratos.gov.co/consultas/detalleProceso.do?numConstancia=20-12-10623498</t>
  </si>
  <si>
    <t>PRESTACION DE SERVICIOS PARA EL APOYO LOGISTICO PERMANENTE EN LOS OPERATIVOS DE CONTROL, CAPACITACIONES, CAMPAÑAS COMUNICATIVAS, ANALISIS DE INFORMACION QUE SE REALIZAN EN EL DEPARTAMENTO DE NARIÑO POR PARTE DE LA SUBSECRETARIA DE RENTAS PARA CONTRARRESTAR EL CONTRABANDO, LA ADULTERACION DE PRODUCTOS SUJETOS A IMPUESTOS AL CONSUMO Y EL INGRESO ILEGAL DE COMBUSTIBLES. LO ANTERIOR DE CONFORMIDAD CON LOS DOCUMENTOS QUE HACEN PARTE INTEGRAL DEL CONTRATO.</t>
  </si>
  <si>
    <t>2020-03-27</t>
  </si>
  <si>
    <t>https://www.contratos.gov.co/consultas/detalleProceso.do?numConstancia=20-12-10634485</t>
  </si>
  <si>
    <t>EL CONTRATISTA SE OBLIGA CON EL DEPARTAMENTO A PRESTAR SUS SERVICIOS PROFESIONALES COMO ABOGADA FRENTE A LOS PROCESOS Y TRAMITES RELACIONADOS CON LOS IMPUESTOS DE REGISTRO DE VEHICULOS AUTOMOTORES, Y DEMAS ASPECTOS JURIDICOS QUE DEBAN SER ATENDIDOS EN LA SUBSECRETARIA DE RENTAS, ADSCRITA A LA SECRETARIA DE HACIENDA DEL DEPARTAMENTO.</t>
  </si>
  <si>
    <t>JULIA YENITH RAMIREZ GUERRERO</t>
  </si>
  <si>
    <t>https://www.contratos.gov.co/consultas/detalleProceso.do?numConstancia=20-12-10636292</t>
  </si>
  <si>
    <t>EL CONTRATISTA SE OBLIGA CON EL DEPARTAMENTO A PRESTAR SUS SERVICIOS PROFESIONALES COMO CONTADOR PUBLICO, APOYAR A LA SUBSECRETARIA DE RENTAS EN EL FORTALECIMIENTO DEL RECAUDO DEL IMPUESTO DE REGISTRO. LO ANTERIOR DE CONFORMIDAD CON LOS DOCUMENTOS DEL PROCESO QUE HACEN PARTE INTEGRAL DEL CONTRATO.</t>
  </si>
  <si>
    <t>https://www.contratos.gov.co/consultas/detalleProceso.do?numConstancia=20-12-10629710</t>
  </si>
  <si>
    <t>EL CONTRATISTA SE OBLIGA CON EL DEPARTAMENTO A PRESTAR SUS SERVICIOS DE APOYO A LA GESTION EN LA SUB SECRETARIA DE RENTAS EN EL PROCESO DE DETERMINACION Y LIQUIDACION DE LOS IMPUESTOS DE REGISTRO Y VEHICULOS AUTOMOTORES EN EL DEPARTAMENTO DE NARIÑO Y LAS DEMAS ACTIVIDADES DE APOYO QUE SE DERIVEN DE ESTE LO ANTERIOR DE CONFORMIDAD CON LOS DOCUMENTOS DEL PROCESO QUE HACEN PARTE INTEGRAL DEL CONTRATO.</t>
  </si>
  <si>
    <t>https://www.contratos.gov.co/consultas/detalleProceso.do?numConstancia=20-12-10623567</t>
  </si>
  <si>
    <t xml:space="preserve">PRESTACIÓN DE SERVICIOS PARA EL APOYO LOGÍSTICO PERMANENTE EN LOS OPERATIVOS DE CONTROL CAPACITACIONES CAMPAÑAS COMUNICATIVAS ANÁLISIS DE INFORMACIÓN QUE SE REALIZAN EN EL DEPARTAMENTO DE NARIÑO POR PARTE DE LA SUBSECRETARÍA DE RENTAS PARA CONTRARRESTAR EL CONTRABANDO LA ADULTERACION DE PRODUCTOS SUJETOS AL IMPUESTO AL CONSUMO Y EL INGRESO ILEGAL DE COMBUSTIBLE. LO ANTERIOR DE CONFORMIDAD CON LOS DOCUMENTOS DEL PROCESO QUE HACEN PARTE INTEGRAL DEL CONTRATO. </t>
  </si>
  <si>
    <t>ANDRES HERMINSUL ALVEAR ERAZO</t>
  </si>
  <si>
    <t>https://www.contratos.gov.co/consultas/detalleProceso.do?numConstancia=20-12-10602701</t>
  </si>
  <si>
    <t xml:space="preserve">EL CONTRATISTA SE OBLIGA CON EL DEPARTAMENTO A PRESTAR SUS SERVICIOS DE APOYO A LA GESTION DE LA SUSBECRETARIA DE RENTAS EN EL PROCESO DE DETERMINACION Y LIQUIDACION DE LOS IMPUESTOS DE REGISTRO DE VEHICULOS AUTOMOTORES EN EL DEPARTAMENTO DENARIÑO Y DEMAS ACTIVIDADES QUE SE DERIVEN DE ESTE. LO ANTERIOR DE CONFORMIDAD CON LOS DOCUMENTOS QUE HACEN PARTE INTEGRAL DEL CONTRATO </t>
  </si>
  <si>
    <t>LUZ ALCIRA MONCAYO GUERRERO</t>
  </si>
  <si>
    <t>https://www.contratos.gov.co/consultas/detalleProceso.do?numConstancia=20-12-10608434</t>
  </si>
  <si>
    <t>EL CONTRATISTA SE OBLIGA CON EL DEPARTAMENTO A PRESTAR SUS SERVICIOS PROFESIONALES COMO ECONOMISTA, EN LA SECRETARIA DE HACIENDA SUBSECRETARIA DE RENTAS, PARA APOYAR A LA OFICINA DE IMPUESTO VEHICULAR Y REGISTRO EN EL DEPARTAMENTO DE NARIÑO.</t>
  </si>
  <si>
    <t>LUIS EDUARDO TUTISTAR MANRIQUE</t>
  </si>
  <si>
    <t>https://www.contratos.gov.co/consultas/detalleProceso.do?numConstancia=20-12-10636347</t>
  </si>
  <si>
    <t>PRESTACION DE SERVICIOS PARA EL APOYO LOGISTICO PERMANENTE EN LOS OPERATIVOS DE CONTROL, CAPACITACIONES, CAMPAÑAS COMUNICATIVAS, ANALISIS DE INFORMACION QUE SE REALIZAN EN EL DEPARTAMENTO DE NARIÑO POR PARTE DE LA SUBSECRETARIA DE RENTAS PARA CONTRARRESTAR EL CONTRABANDO, LA ADULTERACION DE PRODUCTOS SUJETOS AL IMPUESTO AL CONSUMO Y EL INGRESO ILEGAL DE COMBUSTIBLES.LO ANTERIOR DE CONFORMIDAD CON LOS DOCUMENTOS DEL PROCESO, QUE HACEN PARTE INTEGRAL DEL CONTRATO.</t>
  </si>
  <si>
    <t>LUZSI CORONA RUALES ROMO</t>
  </si>
  <si>
    <t>https://www.contratos.gov.co/consultas/detalleProceso.do?numConstancia=20-12-10621003</t>
  </si>
  <si>
    <t>https://www.contratos.gov.co/consultas/detalleProceso.do?numConstancia=20-12-10636597</t>
  </si>
  <si>
    <t>https://www.contratos.gov.co/consultas/detalleProceso.do?numConstancia=20-12-10608484</t>
  </si>
  <si>
    <t xml:space="preserve">PRESTACION DE SERVICIOS DE APOYO LOGISTICO PERMANENTE EN LOS OPERATIVOS DE CONTROL, CAPACITACIONES, CAMPAÑAS COMUNICATIVAS, ANALISIS DE INFORMACION QUE SE REALIZAN EN EL DEPARTAMENTO DE NARIÑO POR PARTE DE LA SUBSECRETARIA DE RENTAS PARA CONTRARRESTAR EL CONTRABANDO, LA ADULTERACION DE PRODUCTOS SUJETOS AL IMPUESTO AL CONSUMO Y EL INGRESO ILEGAL DE COMBUSTIBLES. LO ANTERIOR DE CONFORMIDAD CON LOS DOCUMENTOS DEL PROCESO QUE HACEN PARTE INTEGRAL DEL CONTRATO.
</t>
  </si>
  <si>
    <t>MARIA PASTORA RODRIGUEZ NARVAEZ</t>
  </si>
  <si>
    <t>https://www.contratos.gov.co/consultas/detalleProceso.do?numConstancia=20-12-10621056</t>
  </si>
  <si>
    <t>https://www.contratos.gov.co/consultas/detalleProceso.do?numConstancia=20-12-10585770</t>
  </si>
  <si>
    <t>https://www.contratos.gov.co/consultas/detalleProceso.do?numConstancia=20-12-10597435</t>
  </si>
  <si>
    <t>JORGE ANDRES NOGUERA NASPIRAN</t>
  </si>
  <si>
    <t>https://www.contratos.gov.co/consultas/detalleProceso.do?numConstancia=20-12-10638274</t>
  </si>
  <si>
    <t>WILLIAM ANTONIO ZAMBRANO ROSAS</t>
  </si>
  <si>
    <t>https://www.contratos.gov.co/consultas/detalleProceso.do?numConstancia=20-12-10602613</t>
  </si>
  <si>
    <t>https://www.contratos.gov.co/consultas/detalleProceso.do?numConstancia=20-12-10594618</t>
  </si>
  <si>
    <t>El CONTRATISTA SE OBLIGA CON EL DEPARTAMENTO A PRESTAR SUS SERVICIOS PROFESIONALES COMO ABOGADO PARA APOYAR LAS ACTIVIDADES JURÍDICAS QUE EJECUTA LA SUBSECRETARIA DE RENTAR DEL DEPARTAMENTO A TRAVÉS DE LA OFICINA DE AGUARDIENTE NARIÑO, LA OFICINA DE IMPUESTOS DE VEHICULOS AUTOMOTOTRES Y DE REGISTRO, EL GRUPO OPERATIVO ANTICONTRABANDO Y DEMAS ASPECTOS JURÍDICOS QUE DEBAN SER ATENDIDOS POR DICHA DEPENDENCIA.</t>
  </si>
  <si>
    <t>CARLOS EDUARDO BRAVO ZAMBRANO</t>
  </si>
  <si>
    <t>https://www.contratos.gov.co/consultas/detalleProceso.do?numConstancia=20-12-10540714</t>
  </si>
  <si>
    <t xml:space="preserve">LA CONTRATISTA SE OBLIGA CON EL DEPARTAMENTO A PRESTAR SUS SERVICIOS DE APOYO A LA GESTION DE MANERA AUTONOMA E INDEPENDIENTE BRINDANDO APOYO EN LA REVISION TRIBUTARIA DE LOS DIVERSOS PROCESOS RELACIONADOS CON LAS DECLARACIONES DE IMPUESTO AL CONSUMO DE CIGARRILLOS DE ORIGEN EXTRANJERO  DECLARADOS Y PAGADOS AL DEPARTAMENTO Y DEMAS  ACTIVIDADES  AFINES QUE REQUIERA EL SUPERVISOR. </t>
  </si>
  <si>
    <t>ANDRES FERNANDO MERA RAMOS</t>
  </si>
  <si>
    <t>https://www.contratos.gov.co/consultas/detalleProceso.do?numConstancia=20-12-10544360</t>
  </si>
  <si>
    <t xml:space="preserve">PRESTACIÓN DE SERVICIOS DE APOYO A LA GESTIÓN PARA EL DESARROLLO DE ACTIVIDADES DE SUSTANCIACIÓN Y ACTUALIZACIÓN DE ESTADOS, DENTRO DE LOS PROCESOS CONTRAVENCIONAL Y DE COBRO COACTIVO QUE ADELANTA LA SUBSECRETARIA DE TRANSITO Y TRANSPORTE DEL DEPARTAMENTO DE NARIÑO Y DEMÁS ASPECTOS JURÍDICOS DERIVADOS DE LAS SANCIONES IMPUESTAS POR INFRACCIÓN A LAS NORMAS DE TRANSITO. NO ANTERIOR DE CONFORMIDAD CON LOS DOCUMENTOS DEL PROCESO, QUE HACEN PARTE INTEGRAL DEL CONTRATO.
</t>
  </si>
  <si>
    <t>ADRIANA MILENA RUALES ORDOÑEZ</t>
  </si>
  <si>
    <t>https://www.contratos.gov.co/consultas/detalleProceso.do?numConstancia=20-12-10562171</t>
  </si>
  <si>
    <t xml:space="preserve">PRESTACION DE SERVICIOS DE APOYO A LA GESTION PARA LA REALIZACION DE LOS DIFERENTES PROCESOS Y TRAMITES EN LA SEDE OPERATIVA DEL MUNICIPIO DE BUESACO DE LA SECRETARIA DE TRANSITO Y TRANSPORTE DE DPTO DE NARIÑO. </t>
  </si>
  <si>
    <t>ANGELA SOFIA ORDOÑEZ LOPEZ</t>
  </si>
  <si>
    <t>https://www.contratos.gov.co/consultas/detalleProceso.do?numConstancia=20-12-10621122</t>
  </si>
  <si>
    <t>PRESTACIÓN DE SERVICIOS PROFESIONALES COMO ABOGADA EN LA SUSTANCIACIÓN, DE PROCESOS DE COBRO COACTIVO Y DEMÁS ASPECTOS JURÍDICOS DERIVADOS DE SANCIONES IMPUESTAS POR INFRACCIÓN A LAS NORMAS DE TRANSITO PROPIAS DE LA SUBSECRETARIA DE TRANSITO Y TRANSPORTE DEPARTAMENTAL DE NARIÑO. LO ANTERIOR DE CONFORMIDAD CON LOS DOCUMENTOS DEL PROCESO QUE HACEN PARTE INTEGRAL DEL CONTRATO.</t>
  </si>
  <si>
    <t>MARIA PAULA LUNA GUERRERO</t>
  </si>
  <si>
    <t>https://www.contratos.gov.co/consultas/detalleProceso.do?numConstancia=20-12-10563266</t>
  </si>
  <si>
    <t xml:space="preserve">PRESTACION DE SERVICIOS PROFESIONALES COMO ABOGADA PARA APOYAR EN LA MOTIVACION Y SUSTANCIACION DE PROCESOS CONTRAVENCIONALES DE COMPETENCIA DE LA SUBSECRETARIA DE TRANSITO Y TRANSPORTE DEL DEPARTAMENTO DE NARIÑO. LO ANTERIOR DE CONFORMIDAD CON LOS DOCUMENTOS DEL PROCESO, QUE HACEN PARTE INTEGRAL DEL CONTRATO.
</t>
  </si>
  <si>
    <t>YUVI JINNETH SALAS CALDERON</t>
  </si>
  <si>
    <t>https://www.contratos.gov.co/consultas/detalleProceso.do?numConstancia=20-12-10554232</t>
  </si>
  <si>
    <t xml:space="preserve">PRESTACIÓN DE SERVICIOS DE APOYO A LA GESTIÓN COMO AUXILIAR CONTABLE EN LA DEPENDENCIA DE LA CONTADURÍA GENERAL DEL DEPARTAMENTO. LO ANTERIOR DE CONFORMIDAD CON LOS DOCUMENTOS DEL PROCESO.
</t>
  </si>
  <si>
    <t>JENIFER ALEJANDRA MATINEZ CARDENAS</t>
  </si>
  <si>
    <t>https://www.contratos.gov.co/consultas/detalleProceso.do?numConstancia=20-12-10524691</t>
  </si>
  <si>
    <t>EL CONTRATISTA SE OBLIGA CON EL DEPARTAMENTO A PRESTAR SUS SERVICIOS PROFESIONALES COMO CONTADORA PUBLICA, DE MANERA AUTONOMA E INDEPENDIENTE, PARA APOYAR A LA CONTADURIA GENERAL DEL DEPARTAMENTO. LO ANTERIOR DE CONFORMIDAD CON LOS DOCUMENTOS DEL PROCESO QUE HACEN PARTE INTEGRAL DEL CONTRATO.</t>
  </si>
  <si>
    <t>NATALY DEL CARMEN GUERRERO LUNA</t>
  </si>
  <si>
    <t>https://www.contratos.gov.co/consultas/detalleProceso.do?numConstancia=20-12-10522067</t>
  </si>
  <si>
    <t xml:space="preserve">PRESTAR SUS SERVICIOS PROFESIONALES EN LA TESORERIA GENERAL DEL DEPARTAMENTO. LO ANTERIOR DE CONFORMIDAD CON LOS DOCUMENTOS DEL PROCESO QUE HACEN PARTE INTEGRAL DEL CONTRATO </t>
  </si>
  <si>
    <t>NELSON STEVEN ANDRADE VILLOTA</t>
  </si>
  <si>
    <t>https://www.contratos.gov.co/consultas/detalleProceso.do?numConstancia=20-12-10586086</t>
  </si>
  <si>
    <t>PRESTACION DE SERVICIOS PROFESIONALES COMO  ABOGADO EN LA OFICINA DE COBRO COACTIVO COORDINADO POR LA TESORERÍA GENERAL DEL DEPARTAMENTO DE NARIÑO EN LA SUSTANCIACIÓN E IMPULSO DE LOS PROCESOS ADMINISTRATIVOS DE COBRO COACTIVO DE LA GOBERNACIÓN DE NARIÑO RESPECTO DE LA CARTERA MOROSA.</t>
  </si>
  <si>
    <t>CLAUDIA CAROLINA ROJAS BUCHELY</t>
  </si>
  <si>
    <t>https://www.contratos.gov.co/consultas/detalleProceso.do?numConstancia=20-12-10523031</t>
  </si>
  <si>
    <t>PRESTACIÓN DE SERVICIOS PROFESIONALES COMO  ABOGADO EN LA OFICINA DE COBRO COACTIVO COORDINADO POR LA TESORERÍA GENERAL DEL DEPARTAMENTO DE NARIÑO, EN LA SUSTANCIACIÓN E IMPULSO DE LOS PROCESOS ADMINISTRATIVOS DE COBRO COACTIVO DE LA GOBERNACIÓN DE NARIÑO RESPECTO DE LA CARTERA MOROSA.</t>
  </si>
  <si>
    <t>GINNA MARITZA ORTIZ MUÑOZ</t>
  </si>
  <si>
    <t>https://www.contratos.gov.co/consultas/detalleProceso.do?numConstancia=20-12-10544542</t>
  </si>
  <si>
    <t>PRESTACIÓN DE SERVICIOS PROFESIONALES COMO  ABOGADO EN LA OFICINA DE COBRO COACTIVO, COORDINADO POR LA TESORERÍA GENERAL DEL DEPARTAMENTO DE NARIÑO,  EN LA SUSTANCIACIÓN E IMPULSO DE LOS PROCESOS ADMINISTRATIVOS DE COBRO COACTIVO DE LA GOBERNACIÓN DE NARIÑO, RESPECTO DE LA CARTERA MOROSA.</t>
  </si>
  <si>
    <t>CATRIN YULISA BETANCOURT OROBIO</t>
  </si>
  <si>
    <t>https://www.contratos.gov.co/consultas/detalleProceso.do?numConstancia=20-12-10522834</t>
  </si>
  <si>
    <t>EL CONTRATISTA SE OBLIGA CON EL DEPARTAMENTO A PRESTAR SUS SERVICIOS DE APOYO A LA GESTION PARA APOYAR Y REALIZAR ACTIVIDADES CONCERNIENTES EN LA ATENCION LOGISTICA DE EVENTOS EN LOS QUE SE VINCULE PUBLICAMENTE EL DEPARTAMENTO CON EL PRODUCTO AGUARDIENTE NARIÑO Y APOYO LOGISTICO EN ACTIVIDADES REQUERIDAS EN BODEGAS DE ALMACENAMIENTO DE LICOR A CARGO DEL DEPARTAMENTO. LO ANTERIOR DE CONFORMIDAD CON LOS DOCUMENTOS DEL PROCESO, QUE HACEN PARTE INTEGRAL DEL CONTRATO.</t>
  </si>
  <si>
    <t>https://www.contratos.gov.co/consultas/detalleProceso.do?numConstancia=20-12-10624270</t>
  </si>
  <si>
    <t xml:space="preserve">	EL CONTRATISTA SE OBLIGA CON EL DEPARTAMENTO A PRESTAR SUS SERVICIOS DE APOYO A LA GESTION, PARA APOYAR Y REALIZAR ACTIVIDADES CONCERNIENTES EN LA ATENCION LOGISTICA DE EVENTOS EN LOS QUE SE VINCULE PUBLICITARIAMENTE EL DEPARTAMENTO CON EL PRODUCTO AGUARDIENTE NARIÑO Y APOYO LOGISTICO EN ACTIVIDADES REQUERIDAS EN BODEGAS DE ALMACENAMIENTO DE LICOR A CARGO DEL DEPARTAMENTO DE NARIÑO. LO ANTERIOR DE CONFORMIDAD CON LOS DOCUMENTOS DEL PROCESO, QUE HACEN PARTE INTEGRAL DEL CONTRATO.</t>
  </si>
  <si>
    <t>https://www.contratos.gov.co/consultas/detalleProceso.do?numConstancia=20-12-10602544</t>
  </si>
  <si>
    <t xml:space="preserve">	PRESTACION DE SERVICIOS DE APOYO A LA GESTION PARA REALIZAR ACTIVIDADES CONSISTENTES EN LA ATENCION LOGISTICA EN EVENTOS EN LOS QUE SE VINCULE PUBLICITARIA MENTE EL DEPARTAMENTO CON EL PRODUCTO AGUARDIENTE NARIÑO Y APOYO LOGISTICO EN ACTIVIDADES REQUERIDAS EN BODEGAS DE ALMACENAMIENTO DE LICOR A CARGO DE DEPARTAMENTO.</t>
  </si>
  <si>
    <t>https://www.contratos.gov.co/consultas/detalleProceso.do?numConstancia=20-12-10620933</t>
  </si>
  <si>
    <t>PRESTACION DE SERVICIOS DE APOYO A LA GESTION, PARA APOYAR Y REALIZAR ACTIVIDADES CONSISTENTES EN LA ATENCION LOGISTICA EN EVENTOS EN LOS QUE SE VINCULE PUBLICITARIA MENTE EL DEPARTAMENTO CON EL PRODUCTO AGUARDIENTE NARIÑO Y APOYO LOGISTICO EN ACTIVIDADES REQUERIDAS EN BODEGAS DE ALMACENAMIENTO DE LICOR A CARGO DE DEPARTAMENTO.</t>
  </si>
  <si>
    <t>https://www.contratos.gov.co/consultas/detalleProceso.do?numConstancia=20-12-10633996</t>
  </si>
  <si>
    <t>EL CONTRATISTA SE OBLIGA CON EL DEPARTAMENTO, A PRESTAR SUS SERVICIOS DE APOYO A LA GESTION EN ACTIVIDADES LOGISTICAS Y DE TRANSPORTE DEL PERSONAL ADSCRITO A LA SUBSECRETARIA DE RENTAS, PARA DESPLAZARSE A LOS DIFERENTES MUNICIPIOS DE NARIÑO DONDE SE VINCULE PUBLICITARIAMENTE AL DEPARTAMENTO CON EL PRODUCTO AGUARDIENTE NARIÑO.</t>
  </si>
  <si>
    <t>https://www.contratos.gov.co/consultas/detalleProceso.do?numConstancia=20-12-10602511</t>
  </si>
  <si>
    <t>PRESTACION DE SERVICIOS DE APOYO A LA GESTION COMO AUXILIAR ADMINISTRATIVO EN LA SUBSECRETARIA DE INNOVACION. LO ANTERIOR DE CONFORMIDAD CON LOS DOCUMENTOS DEL PROCESO, QUE HACEN PARTE INTEGRAL DEL CONTRATO.</t>
  </si>
  <si>
    <t xml:space="preserve">	INGRID JOHANA SANTACRUZ SANTACRUZ</t>
  </si>
  <si>
    <t>https://www.contratos.gov.co/consultas/detalleProceso.do?numConstancia=20-12-10597534</t>
  </si>
  <si>
    <t>PRESTACION DE SERVICIOS DE APOYO A LA GESTION PARA REALIZAR ACTIVIDADES CONSISTENTES EN LA ATENCION LOGISTICA DE EVENTOS EN LOS QUE SE VINCULE PUBLICITARIAMENTE EL DEPARTAMENTO CON EL PRODUCTO AGUARDIENTE NARIÑO Y APOYO LOGISTICO EN ACTIVIDADES REQUERIDAS EN BODEGAS DE ALMACENAMIENTO DEL LICOR A CARGO DEL DEPARTAMENTO.</t>
  </si>
  <si>
    <t>https://www.contratos.gov.co/consultas/detalleProceso.do?numConstancia=20-12-10616948</t>
  </si>
  <si>
    <t>EL CONTRATISTA SE OBLIGA CON EL DEPARTAMENTO A PRESTAR SUS SERVICIOS DE APOYO A LA GESTION PARA REALIZAR ACTIVIDADES CONSISTENTES EN RECEPCION, ALMACENAMIENTO, DESPACHO DE LICORES COMERCIALIZADOS POR EL DEPARTAMENTO Y LOGISTICA EN EVENTOS DONDE SE VINCULE LA MARCO AGUARDIENTE NARIÑO.</t>
  </si>
  <si>
    <t>JEFERSON ESTEBAN LOPEZ ROMO</t>
  </si>
  <si>
    <t>https://www.contratos.gov.co/consultas/detalleProceso.do?numConstancia=20-12-10621163</t>
  </si>
  <si>
    <t>JAILANDER MARTINEZ MARTINEZ</t>
  </si>
  <si>
    <t>https://www.contratos.gov.co/consultas/detalleProceso.do?numConstancia=20-12-10634197</t>
  </si>
  <si>
    <t xml:space="preserve">	PRESTACION DE SERVICIOS PARA EL APOYO LOGISTICO PERMANENTE EN LOS OPERATIVOS DE CONTROL, CAPACITACIONES, CAMPAÑAS COMUNICATIVAS, ANALISIS DE INFORMACION QUE SE REALIZAN EN EL DEPARTAMENTO DE NARIÑO POR PARTE DE LA SUBSECRETARIA DE RENTAS PARA CONTRARRESTAR EL CONTRABANDO, LA ADULTERACION DE PRODUCTOS SUJETOS AL IMPUESTO AL CONSUMO Y EL INGRESO ILEGAL DE COMBUSTIBLES. LO ANTERIOR DE CONFORMIDAD CON LOS DOCUMENTOS DEL PROCESO QUE HACEN PARTE INTEGRAL DEL CONTRATO</t>
  </si>
  <si>
    <t>https://www.contratos.gov.co/consultas/detalleProceso.do?numConstancia=20-12-10629714</t>
  </si>
  <si>
    <t xml:space="preserve">PRESTACIÓN DE SERVICIOS DE APOYO PARA REALIZAR EL  IMPULSO Y MERCADEO DE AGUARDIENTE NARIÑO EN TODAS SUS REFERENCIAS Y PRESENTACIONES EN LOS ESTABLECIMIENTO DE COMERCIO QUE EXPENDEN LICOR Y EN LOS SUPERMERCADOS TIPO A, B Y C Y EN ESTABLECIMIENTOS DE COMERCIO DE FORMATO TRADICIONAL QUE EXPENDEN LICOR, TALES COMO: MAYORISTAS, LICORERAS Y TIENDAS DE BARRIO DE LOS DIFERENTES MUNICIPIOS DEL DEPARTAMENTO DE NARIÑO. LO ANTERIOR DE CONFORMIDAD CON LOS DOCUMENTOS DEL PROCESO, QUE HACEN PARTE INTEGRAL DEL CONTRATO. </t>
  </si>
  <si>
    <t>DEISY YURANI OTAYA MORILLO</t>
  </si>
  <si>
    <t>https://www.contratos.gov.co/consultas/detalleProceso.do?numConstancia=20-12-10623077</t>
  </si>
  <si>
    <t>PRESTACION DE SERVCIOS PROFESIONALES EN LA SECRETARIA DE AMBIENTE Y DESARROLLO SOSTENIBLE, COMO BIOLOGO PARA APOYAR LOS TRAMITES ADMINISTRATIVOS, TECNICOS Y PROYECTOS RELACIONADOS CON LOS PROCESOS DE BIO DIVERSIDAD Y SERVICIOS ECOSISTEMICOS DEL DEPARTAMENTO DE NARIÑO.</t>
  </si>
  <si>
    <t>RODRIGO MUÑOZ ARCOS</t>
  </si>
  <si>
    <t>https://www.contratos.gov.co/consultas/detalleProceso.do?numConstancia=20-12-10571323</t>
  </si>
  <si>
    <t>PRESTACIÓN DE SERVICIOS PROFESIONALES EN LA SECRETARIA DE AMBIENTE Y DESARROLLO SOSTENIBLE PARA APOYAR LOS TRAMITES ADMINISTRATIVOS TÉCNICOS Y PROYECTOS DE CARÁCTER AMBIENTAL GEOLÓGICOS Y CLIMÁTICOS RELACIONADOS CON EL PLAN INTEGRAL DE GESTIÓN DE CAMBIO CLIMÁTICO TERRITORIAL NARIÑO ACTÚA POR EL CLIMA 2035 EN EL DEPARTAMENTO DE NARIÑO.</t>
  </si>
  <si>
    <t>GEOVANNY ALEXANDER ABAUNZA</t>
  </si>
  <si>
    <t>https://www.contratos.gov.co/consultas/detalleProceso.do?numConstancia=20-12-10561105</t>
  </si>
  <si>
    <t xml:space="preserve">PRESTACION DE SERVICIOS PROFESIONALES EN LA SECRETARIA DE AMBIENTE Y DESARROLLO SOSTENIBLE PARA IMPLEMENTAR LA POLITICA PUBLICA DE PROTECCION Y BIENESTAR ANIMAL DEL DEPARTAMENTO DE NARIÑO </t>
  </si>
  <si>
    <t>RAFAEL FERNANDO BURGOS VELASCO</t>
  </si>
  <si>
    <t>https://www.contratos.gov.co/consultas/detalleProceso.do?numConstancia=20-12-10629690</t>
  </si>
  <si>
    <t>EL CONTRATISTA SE OBLIGA A LA PRESTACION DE SUS SERVICIOS PROFESIONALES COMO INGENIERO DE SISTEMAS PARA EL APOYO EN EL SEGUIMIENTO DE ANALISIS, PROYECCION E IMPLEMENTACION DE SOFTWARE QUE SE DESARROLLEN EN CUMPLIMIENTO DE LAS METAS DE LA SECRETARIA TIC, INNOVACION Y GOBIERNO ABIERTO.</t>
  </si>
  <si>
    <t>IVAN RODRIGO IBARRA MUÑOZ</t>
  </si>
  <si>
    <t>2020-10-09</t>
  </si>
  <si>
    <t>https://www.contratos.gov.co/consultas/detalleProceso.do?numConstancia=20-12-10600599</t>
  </si>
  <si>
    <t xml:space="preserve">PRESTACION DE SERVICIOS PROFESIONALES EN LA SECRETARIA DE AMBIENTE Y DESARROLLO SOSTENIBLE DEPARTAMENTO DE NARIÑO PARA APOYAR EN LOSPROYECTOS QUE TENGAN COMO OBJETO MITIGAR EL CAMBIO CLIMATICO Y EL FORTALECIMIENTO DE ECOSISTEMAS ESTRATEGICOS Y AREAS PROTEGIDAS EN EL DEPARTAMENTO DE NARIÑO </t>
  </si>
  <si>
    <t>ALVARO MAURICIO PANTOJA BRAVO</t>
  </si>
  <si>
    <t>https://www.contratos.gov.co/consultas/detalleProceso.do?numConstancia=20-12-10629744</t>
  </si>
  <si>
    <t xml:space="preserve">PRESTACION DE SERVICIOS PROFESIONALES EN LA SECRETARIA DE AMBIENTE Y DESARROLLO SOSTENIBLE CON EL FIN DE COADYUVAR EN LAS ACTIVIDADES DE IMPLEMENTACION DE LA POLITICA PUBLICA DE PROTECCION Y BIENESTAR ANIMAL </t>
  </si>
  <si>
    <t>DAVID ANDRES PEREZ RIVERA</t>
  </si>
  <si>
    <t>https://www.contratos.gov.co/consultas/detalleProceso.do?numConstancia=20-12-10580932</t>
  </si>
  <si>
    <t xml:space="preserve">PRESTACIóN DE SERVICIOS PROFESIONALES COMO CONTADOR PúBLICO CON EL FIN DE APOYAR EN LA SUPERVISIóN, SEGUIMIENTO, MONITOREO Y CONTROL DEL PROGRAMA DE ALIMENTACIóN ESCOLAR - PAE </t>
  </si>
  <si>
    <t>https://www.contratos.gov.co/consultas/detalleProceso.do?numConstancia=20-12-10607132</t>
  </si>
  <si>
    <t>2020-04-30</t>
  </si>
  <si>
    <t xml:space="preserve">EL CONTRATISTA DEBE PRESTAR POR SUS PROPIOS MEDIOS CON PLENA AUTONOMíA TéCNICA Y ADMINISTRATIVA, SUS SERVICIOS COMO FISIOTERAPETUTA PARA LA ATENCIóN A LOS DEPORTISTAS DE LAS DISCIPLINAS PRIORIZADAS POR LA SECRETARíA DE RECREACIóN Y DEPORTE DEL DEPARTAMENTO DE NARIñO, CON LA FINALIDAD DE LOGRAR UNA ANTENCIóN INTEGRAL DEPORTIVA DE ALTOS LOGROS DEL DEPORTE CONVENCIONAL Y PARANACIONAL. </t>
  </si>
  <si>
    <t>JONNATHAN DAVID JARAMILLO SILVA</t>
  </si>
  <si>
    <t>https://www.contratos.gov.co/consultas/detalleProceso.do?numConstancia=20-12-10623110</t>
  </si>
  <si>
    <t xml:space="preserve">LA CONTRATISTA DEBE PRESTAR POR SUS PROPIOS MEDIOS CON PLENA AUTONOMíA TéCNICA Y ADMINISTRATIVA, SUS SERVICIOS PROFESIONALES COMO PSICóLOGA PARA LA ATENCIóN A LOS DEPORTISTAS DE LAS DISCIPLINAS PRIORIZADAS POR LA SECRETARíA DE RECREACIóN Y DEPORTE DEL DEPARTAMENTO DE NARIñO, CON LA FINALIDAD DE LOGRAR UNA ATENCIóN DEPORTIVA INTEGRAL DE ALTOS LOGROS DEL DEPORTE CONVENCIONAL Y PARANACIONAL. </t>
  </si>
  <si>
    <t>MARIA ROSA SALCEDO GOMEZ</t>
  </si>
  <si>
    <t>https://www.contratos.gov.co/consultas/detalleProceso.do?numConstancia=20-12-10586164</t>
  </si>
  <si>
    <t xml:space="preserve">LA CONTRATISTA DEBE PRESTAR POR SUS PROPIOS MEDIOS, CON AUTONOMíA TéCNICA Y ADMINISTRATIVA, SUS SERVICIOS COMO LICENCIADA EN EDUCACIóN FíSICA, COMO APOYO A LA GESTIóN DE LA SECRETARíA DE RECREACIóN Y DEPORTE DEL DEPARTAMENTO DE NARIñO, PARA LA EJECUCIóN DE LOS PROGRAMAS INSTITUCIONALES DEL DEPORTE, ESPECIALMENTE EN EL COMPONENTE RECREATIVO EN EL DESARROLLO DEL PROGRAMA DE ATENCIóN DE ADULTO MAYOR. </t>
  </si>
  <si>
    <t>ENRIQUETA MESIAS TIMARAN</t>
  </si>
  <si>
    <t>https://www.contratos.gov.co/consultas/detalleProceso.do?numConstancia=20-12-10592588</t>
  </si>
  <si>
    <t xml:space="preserve">LA CONTRATISTA DEBE PRESTAR POR SUS PROPIOS MEDIOS, CON PLENA AUTONOMíA TéCNICA Y ADMINISTRATIVA, SU SERVICIOS PERSONALES DE APOYO A LA GESTIóN PARA LA EJECUCIóN DE ACTIVIDADES ASISTENCIALES Y OPERATIVAS PARA LA CORRECTA GESTIóN DOCUMENTAL DE LA SECRETARíA DE RECREACIóN Y DEPORTE DE LA GOBERNACIóN DE NARIñO. </t>
  </si>
  <si>
    <t>ANGELA LAGOS GUTIERREZ</t>
  </si>
  <si>
    <t>https://www.contratos.gov.co/consultas/detalleProceso.do?numConstancia=20-12-10592458</t>
  </si>
  <si>
    <t>JORGE HUMBERTO BENAVIDES ROSERO</t>
  </si>
  <si>
    <t>LUIS MIGUEL CUERO CALONGE</t>
  </si>
  <si>
    <t xml:space="preserve">EL CONTRATISTA SE COMPROMETE CON EL DEPARTAMENTO A PRESTAR SUS SERVICIOS PROFESIONALES COMO INGENIERO INDUSTRIAL PARA LA ASESORÍA COORDINACIÓN ACOMPAÑAMIENTO Y ARTICULACIÓN INTERINSTITUCIONAL DELA EMPLEABILIDAD EN EL DEPARTAMENTO DE NARIÑO </t>
  </si>
  <si>
    <t>JIMMY ORLANDO CABRERA MEZA</t>
  </si>
  <si>
    <t>https://www.contratos.gov.co/consultas/detalleProceso.do?numConstancia=20-12-10629752</t>
  </si>
  <si>
    <t xml:space="preserve">PRESTACIÓN DE SERVICIOS PROFESIONALES PARA EL APOYO AL FORTALECIMIENTO DE LA SOBERANÍA SOCIOCULTURAL Y GOBIERNO PROPIO DE LOS 7 PUEBLOS INDÍGENAS DEL DEPARTAMENTO DE NARIÑO.
</t>
  </si>
  <si>
    <t>JONNATHAN ALFREDO ARARA JURADO</t>
  </si>
  <si>
    <t>https://www.contratos.gov.co/consultas/detalleProceso.do?numConstancia=20-12-10586249</t>
  </si>
  <si>
    <t>LA CONTRATISTA SE OBLIGA PARA CON EL DEPARTAMENTO A PRESTAR SUS SERVICIOS PROFESIONALES, EN LA DIRECCION ADMINISTRATIVA DE TURISMO DE LA GOBERNACION DE NARIÑO, PARA IMPLEMENTAR ESTRATEGIAS QUE MEJOREN LA CALIDAD DE LA OFERTA TURISTICA.</t>
  </si>
  <si>
    <t>ANGELA MARGARITA ALVEAR CAICEDO</t>
  </si>
  <si>
    <t>https://www.contratos.gov.co/consultas/detalleProceso.do?numConstancia=20-12-10496755</t>
  </si>
  <si>
    <t>PRESTACIÓN DE SERVICIOS DE APOYO A LA GESTIÓN COMO AUXILIAR JURÍDICO PARA APOYAR LOS ASUNTOS QUE DEBAN SER ATENDIDOS POR LA OFICINA DE CONTROL INTERNO DISCIPLINARIO DEL DEPARTAMENTO DE NARIÑO. LO ANTERIOR DE CONFORMIDAD CON LOS DOCUMENTOS DEL PROCESO, QUE HACEN PARTE INTEGRAL DEL CONTRATO.</t>
  </si>
  <si>
    <t>https://www.contratos.gov.co/consultas/detalleProceso.do?numConstancia=20-12-10522956</t>
  </si>
  <si>
    <t>LA CONTRATISTA SE OBLIGA A PRESTAR SUS SERVICIOS PROFESIONALES COMO ABOGADA EN LA OFICINA DE CONTROL INTERNO DISCIPLINARIO DE LA GOBERNACIÓN DE NARIÑO, CON IDONEIDAD Y CAPACIDAD SIGUIENDO LOS REQUERIMIENTOS U DISPOSICIONES NORMATIVAS EN LA SUSTANCIACIÓN Y TRAMITE DE LAS ACTUACIONES PROCESALES QUE SE ADELANTEN EN LA OFICINA APLICANDO LAS DISPOSICIONES CONSTITUCIONALES Y LEGALES. LO ANTERIOR DE CONFORMIDAD CON LOS DOCUMENTOS DEL PROCESO QUE HACEN PARTE INTEGRAL DEL CONTRATO.</t>
  </si>
  <si>
    <t>GINNA PAOLA ANDRADE FUERTES</t>
  </si>
  <si>
    <t>https://www.contratos.gov.co/consultas/detalleProceso.do?numConstancia=20-12-10522761</t>
  </si>
  <si>
    <t>PRESTACION DE SERVICIOS DE APOYO A LA GESTION PARA COADYUVAR LOS COMPONENTES DE ASUNTOS AMBIENTALES, SECTORIALES Y DE NEGOCIOS VERDES Y EN LA IMPLEMENTACION DEL PLAN INTEGRAL DE GESTION DE CAMBIO CLIMATICO TERRITORIAL NARIÑO ACTUA POR EL CLIMA 2035 EN EL DEPARTAMENTO DE NARIÑO.</t>
  </si>
  <si>
    <t>JUAN FELIPE GUERRERO CABRERA</t>
  </si>
  <si>
    <t>https://www.contratos.gov.co/consultas/detalleProceso.do?numConstancia=20-12-10600728</t>
  </si>
  <si>
    <t xml:space="preserve">PRESTACION DE SERVICIOS PROFESIONALES EN LA SECRETARIA DE AMBIETNE Y DESARROLLOS SOSTENIBLE COMO INGENIERO AGRONOMO PARA APOYAR PROCESOS DE CONSERVACION RESTAURACION  DE RECARGA HIDRICA ABASTECEDORAS DE ACUEDUCTOS URBANOS  Y RURALES DEL DEPARTAMENTO DE NARIÑO </t>
  </si>
  <si>
    <t>EDUARDO ADOLFO JOJOA TOBAR</t>
  </si>
  <si>
    <t>https://www.contratos.gov.co/consultas/detalleProceso.do?numConstancia=20-12-10623452</t>
  </si>
  <si>
    <t xml:space="preserve">PRESTACION DE SERVICIOS PROFESIONALES EN LA SECRETARIA DE AMBIENTE Y DESARROLLO SOSTENIBLE PARA APOYAR LOS TRAMITES ADMINISTRATIVOS TECNICCOS Y PROYECTOS RELACIONADOS CON EL DEPARTAMENTO </t>
  </si>
  <si>
    <t>HOOVER JULIO MONCAYO CHAPID</t>
  </si>
  <si>
    <t>https://www.contratos.gov.co/consultas/detalleProceso.do?numConstancia=20-12-10609575</t>
  </si>
  <si>
    <t xml:space="preserve">PRESTACION DE SERVICIOS PROFESIONALES EN LA SECRETARIA  DE AMBIENTE Y DESARROLLO SOSTENIBLE COMO INGENIERO ELECTRONICO PARA APOYAR LOS TRAMITES ADMINISTRATIVOS TECNICOS Y PROYECTOS  RELACIONADOS CON LOS PROCESOS DE DESARROLLO SOSTENIBLE Y CRECIMIENTO VERDE EN LOS SECTORES ECONOMICOS SOCIALES Y DE SERVICIOS EN EL DEPARTAMENTO DE NARIÑO </t>
  </si>
  <si>
    <t>BYRON HERLEY BASANTE PABON</t>
  </si>
  <si>
    <t>https://www.contratos.gov.co/consultas/detalleProceso.do?numConstancia=20-12-10593747</t>
  </si>
  <si>
    <t>EL CONTRATISTA SE COMPROMETE PARA CON EL DEPARTAMENTO A PRESTAR POR SUS PROPIOS MEDIOS CON PLENA AUTONOMÍA TÉCNICA Y ADMINISTRATIVA SUS SERVICIOS PROFESIONALES COMO INGENIERO CIVIL PARA EL APOYO EN EL PROCESO QUE DEBE SURTIR EL ENTE TERRITORIAL EN LA FORMULACIÓN, REVISIÓN, EVALUACIÓN Y APROBACIÓN DE PROYECTOS DE INFRAESTRUCTURA PRESENTADOS A OCAD REGIÓN PACIFICO, PARA SER FINANCIADOS CON RECURSOS DEL SISTEMA GENERAL DE REGALÍAS - SGR, PARA EL DEPARTAMENTO DE NARIÑO. LO ANTERIOR DE CONFORMIDAD CON LOS DOCUMENTOS DEL PROCESO, QUE HACEN PARTE INTEGRAL DEL CONTRATO.</t>
  </si>
  <si>
    <t>JORGE LUIS DELGADO CORAL</t>
  </si>
  <si>
    <t>https://www.contratos.gov.co/consultas/detalleProceso.do?numConstancia=20-12-10544870</t>
  </si>
  <si>
    <t xml:space="preserve">EL CONTRATISTA DEBE PRESTAR POR SUS PROPIOS MEDIOS, CON PLENA AUTONOMíA TéNICA Y ADMINISTRATIVA, SUS SERVICIOS COMO LICENCIADO EN EDUCACIóN FíSICA, COMO APOYO A LA SECRETARíA DE RECREACIóN Y DEPORTE DEL DEPARTAMENTO DE NARIñO PARA LA EJECUCIóN DEL PROGRAMA DE CAMPAMENTOS JUVENILES Y LA ESTRATEGIA NACIONAL DE RECREACIóN PARA LA PRIMERA INFANCIA. </t>
  </si>
  <si>
    <t>JAVIER FAJARDO PANTOJA</t>
  </si>
  <si>
    <t>https://www.contratos.gov.co/consultas/detalleProceso.do?numConstancia=20-12-10597607</t>
  </si>
  <si>
    <t>https://www.contratos.gov.co/consultas/detalleProceso.do?numConstancia=20-12-10494650</t>
  </si>
  <si>
    <t>JAIME DAVID PATIÑO GUERRERO</t>
  </si>
  <si>
    <t>https://www.contratos.gov.co/consultas/detalleProceso.do?numConstancia=20-12-10505453</t>
  </si>
  <si>
    <t>PRESTAR SUS SERVICIOS PROFESIONALES COMO ABOGADO, PARA APOYAR LA GESTIÓN CONTRACTUAL QUE EL DEPARTAMENTO DE NARIÑO EJECUTA A TRAVÉS DEL DAC Y LLEVAR ACABO LOS PROCEDIMIENTOS NECESARIOS TENDIENTES A LA IMPOSICIÓN DE MULTAS, DECLARATORIAS DE INCUMPLIMIENTO, CADUCIDAD O APLICACIÓN DE CLAUSULAS EXORBITANTES,  Y DEMÁS ASPECTOS JURÍDICOS QUE DEBAN SER ATENDIDOS POR DICHA DEPENDENCIA.</t>
  </si>
  <si>
    <t>EDWIN FRANKLIN MARTINEZ CARDONA</t>
  </si>
  <si>
    <t>https://www.contratos.gov.co/consultas/detalleProceso.do?numConstancia=20-12-10504356</t>
  </si>
  <si>
    <t>Oficina Control Interno de Gestion</t>
  </si>
  <si>
    <t>EL CONTRATISTA SE COMPROMETE CON EL DEPARTAMENTO A PRESTAR SUS SERVICIOS PROFESIONALES DE APOYO EN EL DESARROLLO DE ACTIVIDADES JURÍDICAS Y DE AUDITORIAS QUE ADELANTA LA OFICINA DE CONTROL INTERNO DE GESTIÓN, EN LAS ARENAS JURÍDICAS DE CONTRATACIÓN A LAS DIFERENTES DEPENDENCIAS DE LA ADMINISTRACIÓN CENTRAL DE LA GOBERNACIÓN DE NARIÑO, EN EL MARCO DE SUS COMPETENCIAS. ASÍ COMO EL SEGUIMIENTO A PLANES DE MEJORAMIENTO INTERNOS Y EXTERNOS SUSCRITOS POR LA GOBERNACIÓN CON DISTINTOS ENTES DE CONTROL. LO ANTERIOR DE CONFORMIDAD CON LOS DOCUMENTOS DEL PROCESO QUE HACEN PARTE INTEGRAL DEL CONTRATO.</t>
  </si>
  <si>
    <t>ALEJANDRO ARTURO SALAZAR</t>
  </si>
  <si>
    <t>https://www.contratos.gov.co/consultas/detalleProceso.do?numConstancia=20-12-10494884</t>
  </si>
  <si>
    <t>EL CONTRATISTA SE COMPROMETE PARA CON EL DEPARTAMENTO A PRESTAR SUS SERVICIOS PROFESIONALES COMO ABOGADO EN LAS ACTIVIDADES DE APOYO PARA EL DESARROLLO DE AUDITORIAS Y VERIFICACIONES EN EL ÁREA JURÍDICA QUE ADELANTA LA OFICINA DE CONTROL INTERNO DE GESTIÓN Y DE LOS PROCESOS QUE ADELANTAN LAS DIFERENTES DEPENDENCIAS DE LA ADMINISTRACIÓN CENTRAL, ASÍ COMO EL SEGUIMIENTO A PLANES DE MEJORAMIENTO INTERNOS Y EXTERNOS SUSCRITOS CON LA GOBERNACIÓN DE NARIÑO CON DISTINTOS ENTES DE CONTROL,  LO ANTERIOR DE CONFORMIDAD CON LOS DOCUMENTOS DEL PROCESO QUE HACEN PARTE INTEGRAL DEL CONTRATO.</t>
  </si>
  <si>
    <t>TANIA CRISTINA GONZALEZ NARVAEZ</t>
  </si>
  <si>
    <t>https://www.contratos.gov.co/consultas/detalleProceso.do?numConstancia=20-12-10504407</t>
  </si>
  <si>
    <t>EL CONTRATISTA SE COMPROMETE PARA CON EL DEPARTAMENTO A PRESTAR SUS SERVICIOS PROFESIONALES COMO CONTADOR PUBLICO EN LAS ACTIVIDADES QUE ADELANTA LA OFICINA DE CONTROL INTERNO DE GESTIÓN PARA EL DESARROLLO DE LAS AUDITORIAS EN LAS ÁREAS FINANCIERAS Y CONTABLES DE LAS DIFERENTES DEPENDENCIAS DE LA GOBERNACIÓN DE NARIÑO, ASÍ COMO EL SEGUIMIENTO A PLANES DE MEJORAMIENTO INTERNOS Y EXTERNOS A CARGO DE LAS DISTINTAS DEPENDENCIAS DE LA GOBERNACIÓN. LO ANTERIOR DE CONFORMIDAD CON LOS DOCUMENTOS DEL PROCESO QUE HACEN PARTE INTEGRAL DEL CONTRATO.</t>
  </si>
  <si>
    <t>DALIS YADIRA CUASTUZA MONTENEGRO</t>
  </si>
  <si>
    <t>https://www.contratos.gov.co/consultas/detalleProceso.do?numConstancia=20-12-10505295</t>
  </si>
  <si>
    <t>EL CONTRATISTA SE COMPROMETE PARA CON EL DEPARTAMENTO A PRESTAR SUS SERVICIOS PROFESIONALES COMO CONTADOR PUBLICO PARA EL CUMPLIMIENTO DE LAS ACTIVIDADES QUE ADELANTA LA OFICINA DE CONTROL INTERNO DE GESTIÓN EN EL DESARROLLO DE LAS AUDITORIAS DE LAS ÁREAS FINANCIERAS Y CONTABLES DE LAS DIFERENTES DEPENDENCIAS DE LA GOBERNACIÓN DE NARIÑO. DE IGUAL MANERA, APOYAR EN CUANTO AL SEGUIMIENTO A PLANES DE MEJORAMIENTO INTERNOS Y EXTERNOS A CARGO DE LAS DISTINTAS DEPENDENCIAS DE LA GOBERNACIÓN. LO ANTERIOR DE CONFORMIDAD CON LOS DOCUMENTOS DEL PROCESO QUE HACEN PARTE INTEGRAL DEL CONTRATO.</t>
  </si>
  <si>
    <t>STELLA JACQUELINE MESIAS MORENO</t>
  </si>
  <si>
    <t>https://www.contratos.gov.co/consultas/detalleProceso.do?numConstancia=20-12-10498185</t>
  </si>
  <si>
    <t>EL CONTRATISTA SE COMPROMETE CON EL DEPARTAMENTO A PRESTAR SUS SERVICIOS PROFESIONALES COMO APOYO AL DESARROLLO DE LAS AUDITORIAS EVALUACIONES VERIFICACIONES Y SEGUIMIENTO EN EL AREA JURIDICA Y DE CONTRATACION REALIZADAS POR LA OFICINA DE CONTROL INTERNO DE GESTION EN EL MARCO DE SUS COMPETENCIAS. ASI COMO  EL APOYO A LOS PROCESOS DE CONTRATACION DIRECTA QUE SURJAN POR NECESIDAD DE LA OFICINA. LO ANTERIOR DE CONFORMIDAD CON LOS DOCUMENTOS DEL PROCESO QUE HACEN PARTE INTEGRAL DEL CONTRATO.</t>
  </si>
  <si>
    <t>JORGE LUIS SANTACRUZ URDANIVIA</t>
  </si>
  <si>
    <t>https://www.contratos.gov.co/consultas/detalleProceso.do?numConstancia=20-12-10498266</t>
  </si>
  <si>
    <t>LA CONTRATISTA SE OBLIGA A PRESTAR SUS SERVICIOS PROFESIONALES COMO ABOGADA EN LA OFICINA DE CONTROL INTERNO DISCIPLINARIO DE LA GOBERNACIÓN DE NARIÑO, CON IDONEIDAD Y CAPACIDAD SIGUIENDO LOS REQUERIMIENTOS Y DISPOSICIONES NORMATIVAS EN LA SUSTANCIACIÓN Y TRAMITE DE LAS ACTUACIONES PROCESALES QUE SE ADELANTE EN LA OFICINA, APLICANDO LAS DISPOSICIONES CONSTITUCIONALES Y LEGALES. LO ANTERIOR DE CONFORMIDAD CON LOS DOCUMENTOS DEL PROCESO QUE HACEN PARTE INTEGRAL DEL CONTRATO.</t>
  </si>
  <si>
    <t>YULI ALEXANDRA SOLARTE ACOSTA</t>
  </si>
  <si>
    <t>2020-10-04</t>
  </si>
  <si>
    <t>https://www.contratos.gov.co/consultas/detalleProceso.do?numConstancia=20-12-10529415</t>
  </si>
  <si>
    <t>ELSA MILENA DELGADO MARTINEZ</t>
  </si>
  <si>
    <t xml:space="preserve">EL CONTRATISTA SE OBLIGA PARA CON EL DEPARTAMENTO A PRESTAR POR SUS PROPIOS MEDIOS CON PLENA AUTONOMÍA TÉCNICA Y ADMINISTRATIVA  SUS SERVICIOS DE APOYO A LA GESTIÓN  EN EL DESPACHO DEL GOBERNADOR, PARA ACTIVIDADES DE GESTIÓN SOCIAL DEL DEPARTAMENTO.
</t>
  </si>
  <si>
    <t>MARCO ALBERTO MIRANDA NARVAEZ</t>
  </si>
  <si>
    <t>https://www.contratos.gov.co/consultas/detalleProceso.do?numConstancia=20-12-10581269</t>
  </si>
  <si>
    <t xml:space="preserve">PRESTACIÓN DE SERVICIOS DE  APOYO A LA GESTION ADMINISTRATIVA DE LA SUBSERETARIA DE PAZ Y DERECHOS HUMANOS </t>
  </si>
  <si>
    <t>MARIA INES PAGUAY GUANCHA</t>
  </si>
  <si>
    <t>2020-10-05</t>
  </si>
  <si>
    <t>https://www.contratos.gov.co/consultas/detalleProceso.do?numConstancia=20-12-10586323</t>
  </si>
  <si>
    <t>PRESTACION DE SERVICIOS PROFESIONALES PARA APOYAR LA FORMULACION, EJECUCION Y SEGUIMIENTO DE LOS PROYECTOS DE LA SUBSECRETARIA DE PAZ Y DERECHOS HUMANOS. LO ANTERIOR DE CONFORMIDAD CON LOS DOCUMENTOS DEL PROCESO, QUE HACEN PARTE INTEGRAL DEL CONTRATO.</t>
  </si>
  <si>
    <t>MONICA ANDREA DONOSO ACOSTA</t>
  </si>
  <si>
    <t>https://www.contratos.gov.co/consultas/detalleProceso.do?numConstancia=20-12-10598909</t>
  </si>
  <si>
    <t xml:space="preserve">PRESTACION DE SERVICIOS PROFESIONALES PARA  EL FORTALECIMIENTO DE LA GOBERNABILIDAD IDENTIDAD Y CULTURA DE PAZ TERRITORIAL DE LA COMUNIDAD AFRO DE NARIÑO </t>
  </si>
  <si>
    <t>DALLYS DEJANIRE DAJOME ARIZALA</t>
  </si>
  <si>
    <t>https://www.contratos.gov.co/consultas/detalleProceso.do?numConstancia=20-12-10622963</t>
  </si>
  <si>
    <t xml:space="preserve"> PRESTACION DE SERVICIOS PROFESIONALES PARA EL APOYO AL FORTALECIMIENTO DE LOS EJERCICIOS DE INSPECCION, CONTROL Y VIGILANCIA DE LAS ORGANIZACIONES SOCIALES, DEPORTIVAS Y ASOCIACIONES DE PADRES DE FAMILIA DE LAS INSTITUCIONES EDUCATIVAS EN EL DEPARTAMENTO DE NARIÑO. LO ANTERIOR DE CONFORMIDAD CON LOS DOCUMENTOS DEL PROCESO, QUE HACEN PARTE INTEGRAL DEL CONTRATO.</t>
  </si>
  <si>
    <t>DIANA NATALY MORILLO ACOSTA</t>
  </si>
  <si>
    <t>https://www.contratos.gov.co/consultas/detalleProceso.do?numConstancia=20-12-10609769</t>
  </si>
  <si>
    <t>CARLOS ALIRIO TAIMAL TAIMAL</t>
  </si>
  <si>
    <t>2020-06-04</t>
  </si>
  <si>
    <t>JANINE LIZETH RODRIGUEZ SAUMETH</t>
  </si>
  <si>
    <t>2020-06-05</t>
  </si>
  <si>
    <t>2020-03-30</t>
  </si>
  <si>
    <t>ITALO ERNESTO PANTOJA CABRERA</t>
  </si>
  <si>
    <t>SEBASTIAN ROSERO TORRES</t>
  </si>
  <si>
    <t>EL CONTRATISTA SE OBLIGA CON EL DEPARTAMENTO A PRESTAR SUS SERVICIOS PROFESIONALES COMO CONTADORA PUBLICA DE MANERA AUTONOMA E INDEPENDIENTE PARA APOYAR A LA A LA CONTADURIA GENERAL DEL DEPARTAMENTO LO ANTERIOR DE CONFORMIDAD CON LOS DOCUMENTOS DEL PROCESO QUE HACEN PARTE INTEGRAL DEL CONTRATO.</t>
  </si>
  <si>
    <t>NATALIA DE LOS ANGELES ROSERO PANTOJA</t>
  </si>
  <si>
    <t>https://www.contratos.gov.co/consultas/detalleProceso.do?numConstancia=20-12-10632522</t>
  </si>
  <si>
    <t xml:space="preserve">EL CONTRATISTA SE OBLIGA CON EL DEPARTAMENTO A PRESTAR  SUS SERVICIOS PROFESIONALES COMO ABOGADO (A), DE MANERA AUTóNOMA E INDEPENDIENTE, PARA APOYAR A LA SECRETARIA DE HACIENDA EN LOS TRáMITES Y  PROCESOS RELACIONADOS CON CONTRATACIóN Y DEMáS ASPECTOS JURíDICOS QUE DEBAN SER ATENDIDOS EN LA SECRETARíA DE HACIENDA DEL DEPARTAMENTO DE NARIñO.
</t>
  </si>
  <si>
    <t>https://www.contratos.gov.co/consultas/detalleProceso.do?numConstancia=20-12-10544827</t>
  </si>
  <si>
    <t xml:space="preserve">PRESTACIÓN DE SERVICIOS PROFESIONALES PARA LA ASISTENCIA TÉCNICA, SEGUIMIENTO Y ACOMPAÑAMIENTO EN EL ÁREA FINANCIERA, ECONÓMICA Y PARA EL APOYO EN LA PROMOCIÓN, OFERTA Y VENTA DE SERVICIOS DE LA SUBSECRETARIA DE TRANSITO Y TRANSPORTE DEL DEPARTAMENTO DE NARIÑO. LO ANTERIOR DE CONFORMIDAD CON LOS DOCUMENTOS DEL PROCESO, QUE HACEN PARTE INTEGRAL DEL CONTRATO.
</t>
  </si>
  <si>
    <t>MIGUEL EFRAIN NAVARRO ROJAS</t>
  </si>
  <si>
    <t>https://www.contratos.gov.co/consultas/detalleProceso.do?numConstancia=20-12-10554530</t>
  </si>
  <si>
    <t xml:space="preserve">PRESTACIóN DE SERVICIOS DE APOYO A LA GESTIóN COMO AUXILIAR JURíDICO EN LOS DIFERENTES PROCESOS DE íNDOLE JURíDICO PROPIOS DE LA SUBSECRETARIA DE TRANSITO Y TRANSPORTE DEPARTAMENTAL DE NARIñO.
</t>
  </si>
  <si>
    <t>DIEGO ARMANDO ORBES PAZ</t>
  </si>
  <si>
    <t>https://www.contratos.gov.co/consultas/detalleProceso.do?numConstancia=20-12-10580426</t>
  </si>
  <si>
    <t>JESUS ANTONIO PUENAYAN CANDO</t>
  </si>
  <si>
    <t>https://www.contratos.gov.co/consultas/detalleProceso.do?numConstancia=20-12-10617030</t>
  </si>
  <si>
    <t>EL CONTRATISTA SE OBLIGA CON EL DEPARTAMENTO A PRESTAR SUS SERVICIOS DE APOYO A LA GESTION EN LA SUBSECRETARIA DE RENTAS, EN EL PROCESO DE DETERMINACION Y LIQUIDACION DE LOS IMPUESTOS DE REGISTRO Y VEHICULOS AUTOMOTORES EN EL DEPARTAMENTO DE NARIÑO Y LAS DEMAS ACTIVIDADES QUE SE DERIVEN DE ESTE. LO ANTERIOR DE CONFORMIDAD CON LOS DOCUMENTOS DEL PROCESO, QUE HACEN PARTE INTEGRAL DEL CONTRATO.</t>
  </si>
  <si>
    <t>JOSE DANILO CASTELBLANCO BEDOYA</t>
  </si>
  <si>
    <t>https://www.contratos.gov.co/consultas/detalleProceso.do?numConstancia=20-12-10634352</t>
  </si>
  <si>
    <t>FLAVIO TEODORDO HERNANDEZ VILLARREAL</t>
  </si>
  <si>
    <t>https://www.contratos.gov.co/consultas/detalleProceso.do?numConstancia=20-12-10634126</t>
  </si>
  <si>
    <t>ANA CELLY SALAS PORTILLA</t>
  </si>
  <si>
    <t>https://www.contratos.gov.co/consultas/detalleProceso.do?numConstancia=20-12-10639816</t>
  </si>
  <si>
    <t>EL CONTRATISTA SE OBLIGA CON EL DEPARTAMENTO A PRESTAR SUS SERVICIOS PROFESIONALES COMO ABOGADA, FRENTE A LOS PROCESOS Y TRAMITES RELACIONADOS EN EL IMPUESTO DE VEHICULOS AUTOMOTORES Y DEMAS ASPECTOS JURIDICOS QUE DEBAN SER ATENDIDOS EN LA SUBSECRETARIA DE RENTAS, ADSCRITA A LA SECRETARIA DE HACIENDA DEL DEPARTAMENTO. LO ANTERIOR DE CONFORMIDAD CON LOS DOCUMENTOS DEL PROCESO QUE HACEN PARTE INTEGRAL DEL CONTRATO.</t>
  </si>
  <si>
    <t>https://www.contratos.gov.co/consultas/detalleProceso.do?numConstancia=20-12-10634181</t>
  </si>
  <si>
    <t xml:space="preserve">EL CONTRATISTA SE OBLIGA CON EL DEPARTAMENTO A PRESTAR SUS SERVICIOS PROFESIONALES COMO ECONOMISTA, BAJO AUTONOMÍA TÉCNICA Y ADMINISTRATIVA PARA APOYAR EN LA ESTRUCTURACIÓN, FORMULACIÓN Y SEGUIMIENTO DE PROYECTOS DE GESTIÓN DE RECURSOS PROPIOS, SISTEMA GENERAL DE REGALÍAS, DEL GOBIERNO NACIONAL, COOPERACIÓN INTERNACIONAL Y OTRAS FUENTES DE FINANCIACIÓN Y COFINANCIACIÓN DE LA SECRETARIA DE EQUIDAD DE GÉNERO E INCLUSIÓN SOCIAL DE LA GOBERNACIÓN DE NARIÑO.
</t>
  </si>
  <si>
    <t>GUILLERMO ERNESTO GUERRERO QUIROZ</t>
  </si>
  <si>
    <t>https://www.contratos.gov.co/consultas/detalleProceso.do?numConstancia=20-12-10592906</t>
  </si>
  <si>
    <t>EL CONTRATISTA SE OBLIGA CON EL DEPARTAMENTO A PRESTAR SUS SERVICIOS DE APOYO A LA GESTIÓN COMO AUXILIAR CONTABLE EN LA OFICINA DE AGUARDIENTE NARIÑO. LO ANTERIOR DE CONFORMIDAD CON LOS DOCUMENTOS DEL PROCESO, QUE HACEN PARTE INTEGRAL DEL CONTRATO.</t>
  </si>
  <si>
    <t>ANABEL BENAVIDES NASPIRAN</t>
  </si>
  <si>
    <t>https://www.contratos.gov.co/consultas/detalleProceso.do?numConstancia=20-12-10593100</t>
  </si>
  <si>
    <t>EL CONTRATISTA SE OBLIGA CON EL DEPARTAMENTO A PRESTAR SUS SERVICIOS PROFESIONALES COMO ABOGADO, FRENTE A LOS PROCESOS Y TRAMITES RELACONADOS CON LOS IMPUESTOS DE REGISTRO Y DE VEHICULOS AUTOMOTORES, Y DEMAS ASPECTOS JURIDICOS QUE DEBAN SER ATENDIDOS EN LA SUBSECRETARIA DE RENTAS, ADSCRITA A LA SECRETARIA DE HACIENDA DEL DEPARTAMENTO.</t>
  </si>
  <si>
    <t>MIGUEL ANGEL PEREZ ZAMBRANO</t>
  </si>
  <si>
    <t>https://www.contratos.gov.co/consultas/detalleProceso.do?numConstancia=20-12-10632406</t>
  </si>
  <si>
    <t>LA CONTRATISTA SE OBLIGA CON EL DEPARTAMENTO A PRESTAR SUS SERVICIOS PROFESIONALES COMO ABOGADA PARA APOYAR LAS ACTIVIDADES JURíDICAS QUE EJECUTA LA SUBSECRETARíA DE RENTAS DEL DEPARTAMENTO A TRAVéS DE LA OFICINA DE AGUARDIENTE NARIñO, LA OFICINA DE IMPUESTOS DE VEHíCULOS AUTOMOTORES Y DE REGISTRO, EL GRUPO OPERATIVO ANTICONTRABANDO Y DEMáS ASPECTOS JURíDICOS QUE DEBAN SER ATENDIDOS POR DICHA DEPENDENCIA.</t>
  </si>
  <si>
    <t>JENNY ELIZABETH DIAZ MALLAMA</t>
  </si>
  <si>
    <t>https://www.contratos.gov.co/consultas/detalleProceso.do?numConstancia=20-12-10544734</t>
  </si>
  <si>
    <t>EL CONTRATISTA DEBE PRESTAR POR SUS PROPIOS MEDIOS CON PLENA AUTONOMIA TECNICA Y ADMINISTRATIVA, SUS SERVICIOS DE LICENCIADO EN EDUCACION FISICA, PARA EL APOYO A LA SECRETARIA DE RECREACION Y DEPORTE EN ASUNTOS RELACIONADOS CON EL MEJORAMIENTO DEL DEPORTE, COMO METODOLOGO DEPORTIVO DEL DEPORTE ASOCIADO EN EL DEPARTAMENTO DE NARIÑO.</t>
  </si>
  <si>
    <t>ANDRES ALEJANDRO GUERRERO ZAMBRANO</t>
  </si>
  <si>
    <t>https://www.contratos.gov.co/consultas/detalleProceso.do?numConstancia=20-12-10591634</t>
  </si>
  <si>
    <t>PRESTACION DE SERVICIOS PARA EL APOYO LOGISTICO PERMANENTE EN LOS OPERATIVOS DE CONTROL, CAPACITACIONES, CAMPAÑAS COMUNICATIVAS, ANALISIS DE INFORMACION QUE SE REALIZAN EN EL DEPARTAMENTO DE NARIÑO POR PARTE DE LA SUBSECRETARIA DE RENTAS PARA CONTRARRESTAR EL CONTRABANDO, LA ADULTERACION DE PRODUCTOS SUJETOS AL IMPUESTO AL CONSUMO Y EL INGRESO ILEGAL DE COMBUSTIBLES. LO ANTERIOR DE CONFORMIDAD CON LOS DOCUMENTOS DEL PROCESO, QUE HACEN PARTE INTEGRAL DEL CONTRATO.</t>
  </si>
  <si>
    <t>YOLANDA ADRIANA ORBES PORTILLA</t>
  </si>
  <si>
    <t>https://www.contratos.gov.co/consultas/detalleProceso.do?numConstancia=20-12-10625637</t>
  </si>
  <si>
    <t>2020-04-08</t>
  </si>
  <si>
    <t>PRESTACION DE SERVICIOS DE APOYO A LA GESTION COMO OPERARIO DE MAQUINARIA Y DE LOS VEHICULOS DE LA SECRETARIA DE INFRAESTRUCTURA Y MINAS DEL DEPARTAMENTO DE NARIÑO.</t>
  </si>
  <si>
    <t>LUIS MIGUEL PANTOJA PAREDES</t>
  </si>
  <si>
    <t>https://www.contratos.gov.co/consultas/detalleProceso.do?numConstancia=20-12-10633928</t>
  </si>
  <si>
    <t>JHON JAIRO PAREDES NARVAEZ</t>
  </si>
  <si>
    <t>https://www.contratos.gov.co/consultas/detalleProceso.do?numConstancia=20-12-10617080</t>
  </si>
  <si>
    <t xml:space="preserve">PRESTACION DE SERVICIOS DE APOYO A LA GESTIÓN COMO OPERARIO DE MAQUINARIA  Y DE LOS VEHICULOS DE LA SECRETARIA DE INFRAESTRUCTURA Y MINAS DEL DEPARTAMENTO DE NARIÑO. </t>
  </si>
  <si>
    <t>FRANCISCO JAVIER ROSERO TORO</t>
  </si>
  <si>
    <t>https://www.contratos.gov.co/consultas/detalleProceso.do?numConstancia=20-12-10580595</t>
  </si>
  <si>
    <t xml:space="preserve">PRESTACIÓN DE SERVICIOS PROFESIONALE SCOMO INGENIERO DE MINAS PARA APOYAR Y BRINDAR ASISTENCIA TECNICA AL EJERCICIO DE LAS COMPETENCIAS LEGALES U REGLAMENTARIAS ASIGNADAS A LA SUBSECRETARIA DE MINAS DE LA SECRETARIA DE INFRAESTRUCTURA Y MINAS DEL DEPARTAMENTO DE NARIÑO.
 </t>
  </si>
  <si>
    <t>JOSE IGNACIO ROJAS CABRERA</t>
  </si>
  <si>
    <t>https://www.contratos.gov.co/consultas/detalleProceso.do?numConstancia=20-12-10540849</t>
  </si>
  <si>
    <t>PRESTACIÓN DE SERVICIOS PROFESIONALES COMO INGENIERA DE SISTEMAS PARA EL APOYO EN MANTENIMIENTO DE SOFWARE Y HARDWARE EN LOS EQUIPOS DE COMPUTO DE LA GOBERNACIÓN DE NARIÑO. LO ANTERIOR DE CONFORMIDAD CON LOS DOCUMENTOS QUE HACEN PARTE INTEGRAL DEL CONTRATO</t>
  </si>
  <si>
    <t>https://www.contratos.gov.co/consultas/detalleProceso.do?numConstancia=20-12-10555267</t>
  </si>
  <si>
    <t>PRESTACION DE SERVICIOS DE APOYO A LA GESTION COMO APOYO LOGISTICO EN LA SUBSECRETARIA DE GESTION PUBLICA</t>
  </si>
  <si>
    <t>EDGAR RODRIGO PATIÑO GAVILANES</t>
  </si>
  <si>
    <t>https://www.contratos.gov.co/consultas/detalleProceso.do?numConstancia=20-12-10623598</t>
  </si>
  <si>
    <t>KAROL IVETTE VILLOTA ORTIZ</t>
  </si>
  <si>
    <t>CARMEN GLADIS AREVALO</t>
  </si>
  <si>
    <t>2020-04-07</t>
  </si>
  <si>
    <t>MIRIAM DEL SOCORRO GONZALEZ RODRIGUEZ</t>
  </si>
  <si>
    <t>LUIS EDUARDO MARTINEZ PAZOS</t>
  </si>
  <si>
    <t>MIGUEL ORLANDO CASTRO CUASTUMAL</t>
  </si>
  <si>
    <t>EL CONTRATISTA SE OBLIGA CON EL DEPARTAMENTO A PRESTAR SUS SERVICIOS DE APOYO A LA GESTION EN LA SUBSECRETARIA DE RENTAS, EN EL PROCESO DE DETERMINACION Y LIQUIDACION DE LOS IMPUESTOS DE REGISTRO DE VEHICULOS AUTOMOTORES EN EL DEPARTAMENTO DE NARIÑO Y LAS DEMAS ACTIVIDADES QUE SE DERIVEN DE ESTE. LO ANTERIOR DE CONFORMIDAD CON LOS DOCUMENTOS DEL PROCESO, QUE HACEN PARTE INTEGRAL DEL CONTRATO.</t>
  </si>
  <si>
    <t>ALEXIS ANTONIO PORTILLO ORTEGA</t>
  </si>
  <si>
    <t>2020-11-11</t>
  </si>
  <si>
    <t>https://www.contratos.gov.co/consultas/detalleProceso.do?numConstancia=20-12-10632569</t>
  </si>
  <si>
    <t>PRESTACIÓN DE SERVICIOS PROFESIONALES PARA APOYAR ACTIVIDADES DE PREVENCIÓN DE TRATA DE PERSONAS Y FORTALECIMIENTO DE SISTEMA LOCALES Y REGIONAL DE JUSTICIA EN NARIÑO.</t>
  </si>
  <si>
    <t>ANGELA MARIA NAVARRETE JURADO</t>
  </si>
  <si>
    <t>https://www.contratos.gov.co/consultas/detalleProceso.do?numConstancia=20-12-10620159</t>
  </si>
  <si>
    <t xml:space="preserve">PRESTACION DE SERVICIOS PROFESIONALES COMO ABOGADA EN SECRETARIA DE GOBIERNO  </t>
  </si>
  <si>
    <t>INGRID MAIRETH MELO SOLARTE</t>
  </si>
  <si>
    <t>https://www.contratos.gov.co/consultas/detalleProceso.do?numConstancia=20-12-10623662</t>
  </si>
  <si>
    <t xml:space="preserve">PRESTACIÓN DE SERVICIOS PROFESIONALES COMO ABOGADO PARA APOYAR LA ESTRATEGIA DE CONCILIACIÓN CIUDADANA Y CONVIVENCIA VECINAL Y PREVENCIÓN DEL USO DE LA PÓLVORA DA LA SUBSECRETARÍA DE GESTIÓN PUBLICA - SECRETARIA DE GOBIERNO DEPARTAMENTAL.
</t>
  </si>
  <si>
    <t>LUIS HUMBERTO FROILAN CAICEDO LOPEZ</t>
  </si>
  <si>
    <t xml:space="preserve">https://www.contratos.gov.co/consultas/detalleProceso.do?numConstancia=20-12-10571423	</t>
  </si>
  <si>
    <t xml:space="preserve">CONTRATO DE PRESTACIÓN DE SERVICIOS PROFESIONALES COMO ABOGADO PARA APOYAR LA ARTICULACIÓN  CON INPEC Y DESARROLLAR LA ESTRATEGIA: MENORES INFRACTORES DE LA SUBSECRETARIA DE GESTIÓN  PUBLICA - SECRETARIA DE GOBIERNO DEPARTAMENTAL.
</t>
  </si>
  <si>
    <t>LUIS CARLOS ESPANA CHAVES</t>
  </si>
  <si>
    <t>https://www.contratos.gov.co/consultas/detalleProceso.do?numConstancia=20-12-10555518</t>
  </si>
  <si>
    <t xml:space="preserve">PRESTACION DE SERVICIOS PROFESIONALES PARA APOYAR LA ESTRATEGIA DE RED DE ALIADOS Y PREVENCION DEL RECLUTAMIENTO FORZADO DE LA SUBSECRETARIA DE GESTION PUBLICA - SECRETARIA DE GOBIERNO DEPARTAMENTAL. </t>
  </si>
  <si>
    <t>JUAN DIEGO ROJAS GOMEZ</t>
  </si>
  <si>
    <t xml:space="preserve">EL CONTRATISTA SE OBLIGA CON EL DEPARTAMENTO A PRESTAR SUS SERVICIOS PROFESIONALES COMO ABOGADO PARA APOYAR EL DESARROLLO  DE LAS ESTRATEGIAS  RELACIONADAS CON BRIGADAS JURÍDICAS, FORTALECIMIENTO DE CASAS DE JUSTICIA Y FORTALECIMIENTO DE LA INVESTIGACIÓN JUDICIAL. DE AL SUBSECRETARIA DE GESTIÓN PUBLICA - SECRETARIA DE GOBIERNO DEPARTAMENTAL.
</t>
  </si>
  <si>
    <t>DAVID FERNANDO JOJOA CULTID</t>
  </si>
  <si>
    <t>https://www.contratos.gov.co/consultas/detalleProceso.do?numConstancia=20-12-10570606</t>
  </si>
  <si>
    <t>EL CONTRATISTA SE OBLIGA CON EL DEPARTAMENTO A PRESTAR SUS SERVICIOS DE APOYO A LA GESTIÓN EN ALMACEN GENERAL DEPENDENCIA ADSCRITA A SECRETARIA GENERAL PARA LA VERIFICACIÓN DE LOS BIENES MUEBLES QUE SE ENCUENTREN ASISGNADOS AL PERSONAL DE LA GOBERNACIÓN DE NARIÑO DE ACUERDO AL REPORTE DE ALMACEN GENERAL CON SU REPESCTIVA PROYECCIÓN DEL INFORME CONTRACTUAL REGISTRO EN EL MODULO ALMACEN SYSMAN Y DEMAS ACTIVIDADES NOVEDADES Y MODIFICACIONES QUE DEBAN SER ATENDIDAS EN EL ALMACEN GENERAL.</t>
  </si>
  <si>
    <t>RICHARD ANDRES YEPEZ DIAZ</t>
  </si>
  <si>
    <t>https://www.contratos.gov.co/consultas/detalleProceso.do?numConstancia=20-12-10549868</t>
  </si>
  <si>
    <t xml:space="preserve">PRESTAR SUS SERVICIOS PROFESIONALES COMO ABOGADO, PARA APOYAR LA GESTIÓN CONTRACTUAL QUE EL DEPARTAMENTO DE NARIÑO EJECUTA A TRAVÉS DEL DAC Y LLEVAR A CABO LOS PROCEDIMIENTOS NECESARIOS TENDIENTES A LA IMPOSICIÓN DE MULTAS, DECLARATORIAS DE INCUMPLIMIENTO, CADUCIDAD O APLICACIÓN DE CLAUSULAS EXORBITANTES, Y DEMÁS ASPECTOS JURÍDICOS QUE DEBAN SER ATENDIDOS POR DICHA DEPENDENCIA. </t>
  </si>
  <si>
    <t>SILVANA VANESSA GUERRERO GARCIA</t>
  </si>
  <si>
    <t>https://www.contratos.gov.co/consultas/detalleProceso.do?numConstancia=20-12-10544007</t>
  </si>
  <si>
    <t>EL CONTRATISTA SE OBLIGA PARA CON EL DEPARTAMENTO A PRESTAR POR SUS PROPIOS MEDIOS CON PLENA AUTONOMIA TECNICA Y ADMINISTRATIVA SUS SERVICIOS DE APOYO A LA GESTION PARA EJECUTAR EL PLAN DE ACCION 2020, DISEÑADO POR LA SECRETARIA DE EQUIDAD DE GENERO E INCLUSION SOCIAL DE LA GOBERNACION DE NARIÑO, SUBPROGRAMA EQUIDAD DE GENERO MUJER</t>
  </si>
  <si>
    <t>SEBASTIAN CAMILO ESPAÑA CHAVES</t>
  </si>
  <si>
    <t>https://www.contratos.gov.co/consultas/detalleProceso.do?numConstancia=20-12-10608724</t>
  </si>
  <si>
    <t>EL CONTRATISTA SE OBLIGA PARA CON EL DEPARTAMENTO A PRESTAR POR SUS PROPIOS MEDIOS CON PLENA AUTONOMIA TECNICA Y ADMINISTRATIVA SUS SERVICIOS PROFESIONALES COMO ABOGADO PARA APOYAR LA EJECUCION D EL PLAN DE ACCION 2020 DISEÑADO POR LA SECRETARIA DE EQUIDAD DE GENERO E INCLUSION SOCIAL DE LA GOBERNACION DE NARIÑO REQUERIDO PARA CUMPLIR CON LOS OBJETIVOS Y METAS ESTABLECIDAS EN EL SUB PROGRAMA DE PROTECCION DE DERECHOS Y ATENCION INTEGRAL A ADULTOS MAYORES EN EL DEPARTAMENTO DE NARIÑO. LO ANTERIOR DE CONFORMIDAD CON LA PROPUESTA PRESENTADA Y APROBADA POR EL DEPARTAMENTO LA CUAL FORMA PARTE INTEGRAL DEL PRESENTE CONTRATO.</t>
  </si>
  <si>
    <t>KATHERIN STEFANI QUINTERO RIVAS</t>
  </si>
  <si>
    <t>https://www.contratos.gov.co/consultas/detalleProceso.do?numConstancia=20-12-10603532</t>
  </si>
  <si>
    <t>PRESTACION DE SERVICIOS PROFESIONALES PARA EL APOYO A LA IMPLEMENTACION DE DE PROGRAMAS DE DESARROLLO ALTERNATIVO PARA LA SUSTITUCION VOLUNTARIA DE CULTIVOS ILÍCITOS, MEJORAR LAS CONDICIONES DE SEGURIDAD Y CONVIVENCIA EN LOS TERRITORIOS AFECTADOS POR ESTE FENOMENO Y ACOMPAÑAR EL COMPONENTE DE MIGRANTES DE LA SECRETARIA DE GOBIERNO DEPARTAMENTAL</t>
  </si>
  <si>
    <t>PLINIO ALEVIO PEREZ MORA</t>
  </si>
  <si>
    <t>https://www.contratos.gov.co/consultas/detalleProceso.do?numConstancia=20-12-10633556</t>
  </si>
  <si>
    <t xml:space="preserve">PRESTACION DE SERVICISO PROFESIONALES  PARA BRINDAR APOYO EN EL CARGUE DE LA INFROMACION EN LA PALTAFORMA GESPROY DE PROYECOTS PRESENTADOS A OCAD REGION PACIFICO A CARGO DELA SECRETARIA DE AGRICULTURA QUE SE FINANCIAN CON RECURSOS DEL SISTEMA GENERAL DE REGALIAS </t>
  </si>
  <si>
    <t>KAREN VIVIANA MORALES LUNA</t>
  </si>
  <si>
    <t>2020-10-07</t>
  </si>
  <si>
    <t>https://www.contratos.gov.co/consultas/detalleProceso.do?numConstancia=20-12-10574019</t>
  </si>
  <si>
    <t>PRESTACION DE SERVICIOS PROFESIONALES PARA APOYO JURIDICO A LA SECRETARIA DE AGRICULTURA Y DESARROLLO RURAL FRENTE A LOS TRAMITES Y PROCESOS RELACIONADOS CON LA CONTRATACION Y DEMAS ASPECTOS JURIDICOS QUE DEBAN SER ATENDIDOS POR ESTA DEPENDENCIA</t>
  </si>
  <si>
    <t>ANDRES APRAEZ MESSA</t>
  </si>
  <si>
    <t>2020-04-20</t>
  </si>
  <si>
    <t>https://www.contratos.gov.co/consultas/detalleProceso.do?numConstancia=20-12-10691167</t>
  </si>
  <si>
    <t>LA CONTRATISTA SE OBLIGA A PRESTAR SUS SERVICIOS COMO AUXILIAR JURíDICO, PARA APOYAR LOS ASUNTOS QUE DEBAN SER ATENDIDOS POR LA OFICINA ASESORA JURíDICA DEL DEPARTAMENTO DE NARIñO. LO ANTERIOR DE CONFORMIDAD CON LOS DOCUMENTOS DEL PROCESO, QUE HACEN PARTE INTEGRAL DEL CONTRATO.</t>
  </si>
  <si>
    <t>ALEJANDRA AGREDA DELGADO</t>
  </si>
  <si>
    <t>[{"fecha_suscripcion'":"2020-09-30","fecha_legalizacion":"2020-10-13","tipo Adicion":"Tiempo y Valor","valor":"5.088.000,00","tiempo":"81-"}]</t>
  </si>
  <si>
    <t>https://www.contratos.gov.co/consultas/detalleProceso.do?numConstancia=20-12-10556899</t>
  </si>
  <si>
    <t xml:space="preserve">PRESTACIóN DE SERVICIOS PROFESIONALES COMO ABOGADA, APOYANDO A LA OFICINA ASESORA JURíDICA EN LA EJECUCIóN DE TODAS LAS ACTIVIDADES JURíDICAS QUE DEBAN SER ATENDIDAS EN DICHA DEPENDENCIA. LO ANTERIOR DE CONFORMIDAD CON LOS DOCUMENTOS DEL PROCESO, QUE HACEN PARTE INTEGRAL DEL CONTRATO.. </t>
  </si>
  <si>
    <t>VANESSA CAROLINA MALLAMA MARTINEZ</t>
  </si>
  <si>
    <t>https://www.contratos.gov.co/consultas/detalleProceso.do?numConstancia=20-12-10581137</t>
  </si>
  <si>
    <t>MARIA CRISTINA IPAZ BURBANO</t>
  </si>
  <si>
    <t>2020-04-15</t>
  </si>
  <si>
    <t>2020-06-09</t>
  </si>
  <si>
    <t xml:space="preserve">LA CONTRATISTA SE OBLIGA CON EL DEPARTAMENTO A PRESTAR SUS SERVICIOS INTEGRALES DE ASEO, CAFETERIA Y OFICIOS VARIOS DE LAS DEPENDENCIAS DE LA GOBERNACION DE NARIñO CON EL FIN DE CONSERVAR Y MANTENER EN BUEN ESTADO LAS INSTALACIONES </t>
  </si>
  <si>
    <t>RUBI MARIA AIDE PANTOJA NARVAEZ</t>
  </si>
  <si>
    <t>https://www.contratos.gov.co/consultas/detalleProceso.do?numConstancia=20-12-10599030</t>
  </si>
  <si>
    <t>PRESTACION DE SERVICIOS PROFESIONALES PARA APOYAR A LA SECRETARIA GENERAL DE LA GOBERNACION DE NARIÑO EN LA SUPERVISION DE CONTRATOS YO CONVENIOS QUE SE ENCUENTREN A CARGO DE ESTA DEPENDENCIA. LO ANTERIOR DE CONFORMIDAD CON LOS DOCUMENTOS DEL PROCESO, QUE HACEN PARTE INTEGRANTE DEL CONTRATO.</t>
  </si>
  <si>
    <t>2020-09-09</t>
  </si>
  <si>
    <t>https://www.contratos.gov.co/consultas/detalleProceso.do?numConstancia=20-12-10608832</t>
  </si>
  <si>
    <t xml:space="preserve">PRESTACIóN DE SERVICIOS PROFESIONALES CON EL FIN DE BRINDAR APOYO A LA SUPERVISIóN DE CONTRATOS Y CONVENIOS QUE SE EJECUTAN EN LA SECRETARIA GENERAL DE LA GOBERNACIóN DE NARIñO. </t>
  </si>
  <si>
    <t>2020-09-10</t>
  </si>
  <si>
    <t>[{"fecha_suscripcion'":"2020-07-01","fecha_legalizacion":"2020-08-06","tipo Adicion":"otra","valor":"0","tiempo":"otra-"}]</t>
  </si>
  <si>
    <t>https://www.contratos.gov.co/consultas/detalleProceso.do?numConstancia=20-12-10623813</t>
  </si>
  <si>
    <t xml:space="preserve">LA CONTRATISTA SE OBLIGA A PRESTAR SUS SERVICIOS PROFESIONALES COMO ABOGADA, FRENTE A LOS TRAMITES Y PROCESOS RELACIONADOS CON LA CONTRATACION Y DEMAS ASPECTOS JURIDICOS QUE DEBAN SER ATENDIDOS EN LA SECRETARIA GENERAL. </t>
  </si>
  <si>
    <t>[{"fecha_suscripcion'":"2020-09-09","fecha_legalizacion":"2020-10-06","tipo Adicion":"Tiempo y Valor","valor":"11.464.960,00","tiempo":"101-"}]</t>
  </si>
  <si>
    <t>https://www.contratos.gov.co/consultas/detalleProceso.do?numConstancia=20-12-10581202</t>
  </si>
  <si>
    <t xml:space="preserve">LA CONTRATISTA SE OBLIGA A PRESTAR SUS SERVICIOS PROFESIONALES COMO ABOGADA FRENTE A LOS TRÁMITES Y PROCESOS RELACIONADOS CON LA CONTRATACIÓN Y DEMÁS ASPECTOS JURÍDICOS QUE DEBAN SER ATENDIDOS EN LA SECRETARÍA GENERAL. </t>
  </si>
  <si>
    <t>https://www.contratos.gov.co/consultas/detalleProceso.do?numConstancia=20-12-10581333</t>
  </si>
  <si>
    <t>PRESTACION DE SERVICIOS DE APOYO A LA GESTION EN LA SECRETARIA DE AMBIENTE Y DESARROLLO SOSTENIBLE DEL DEPARTAMENTO DE NARIÑO, PARA APOYAR EN EL DESARROLLO DE ACTIVIDADES AUDIOVISUALES, CONTENIDOS PERIODISTICOS, COMUNICATIVOS, Y COADYUVAR EN LA REALIZACION DE ACTIVIDADES PARA LA MITIGACION DEL CAMBIO CLIMATICO Y SENSIBILIZACION AMBIENTAL Y ACTIVIDADES ECO PEDAGOGICAS.</t>
  </si>
  <si>
    <t>GABRIELA ALEJANDRA OBANDO PANTOJA</t>
  </si>
  <si>
    <t>https://www.contratos.gov.co/consultas/detalleProceso.do?numConstancia=20-12-10636311</t>
  </si>
  <si>
    <t>PRESTACION DE SERVICIOS DE APOYO A LA GESTION COMO ASISTENTE JURIDICO ADMINISTRATIVO EN LOS PROCESOS CONTRACTUALES, PROYECTOS Y DEMAS ACTIVIDADES QUE EL DEPARTAMENTO EJECUTA A TRAVES DE LA SECRETARIA TIC, INNOVACION Y GOBIERNO ABIERTO.</t>
  </si>
  <si>
    <t>TANIA PATRICIA MUÑOZ BOLAÑOS</t>
  </si>
  <si>
    <t>https://www.contratos.gov.co/consultas/detalleProceso.do?numConstancia=20-12-10633238</t>
  </si>
  <si>
    <t xml:space="preserve">EL CONTRATISTA SE OBLIGA A PRESTAR SUS SERVICIOS PROFESIONALES PARA APOYAR TODOS LOS TRÁMITES Y PROCESOS RELACIONADOS CON EL DESARROLLO Y EJECUCIÓN DE LAS DISTINTAS ÁREAS, COMPONENTES Y ACTIVIDADES DEL PROGRAMA Y EL PLAN DE BIENESTAR SOCIAL INSTITUCIONAL. LO ANTERIOR DE CONFORMIDAD CON LOS DOCUMENTOS DEL PROCESO, QUE HACEN PARTE INTEGRAL DEL CONTRATO.
</t>
  </si>
  <si>
    <t>[{"fecha_suscripcion'":"2020-09-09","fecha_legalizacion":"2020-10-02","tipo Adicion":"Tiempo y Valor","valor":"11.464.960,00","tiempo":"101-"}]</t>
  </si>
  <si>
    <t>https://www.contratos.gov.co/consultas/detalleProceso.do?numConstancia=20-12-10593163</t>
  </si>
  <si>
    <t xml:space="preserve">PRESTACIÓN DE SERVICIOS PROFESIONALES ESPECIALIZADOS COMO ABOGADA EN LA EJECUCIÓN DE PLANES, ACTIVIDADES, FORMULACIÓN DE PROYECTOS DENTRO DEL PROYECTO FORTALECIMIENTO PARA EL DESARROLLO INTEGRAL FRONTERIZO Y TRANSFRONTERIZO DE LOS MUNICIPIOS DE LA ZIFEC, EN EL DEPARTAMENTO DE NARIÑO, Y ASESEORIA JURÍDICA E LOS ASUNTOS ADELANTADOS POR EL ASESOR DE ASUNTOS DE FRONTERA Y BINACIONALES.
</t>
  </si>
  <si>
    <t>AMANDA GUERRERO TERAN</t>
  </si>
  <si>
    <t>https://www.contratos.gov.co/consultas/detalleProceso.do?numConstancia=20-12-10571362</t>
  </si>
  <si>
    <t xml:space="preserve">PRESTACIÓN DE SERVICIOS PROFESIONALES PARA APOYAR LA FOMULACIÓN, EJECUCIÓN DE PROYECTOS EN EL FORTALECIMIENTO PARA EL DESARROLLO INTEGRAL FRONTERIZO Y TRANSFRONTERIZO DE LOS MUNICIPIOS DE LA ZIFEC, EN EL DEPARTAMENTO DE NARIÑO, EN ESPECIAL EN LA FORMULACIÓN E IMPLEMENTACIÓN DE LA ESTRATEGIA DE PROSPERIDAD PARA LAS FRONTERAS, CON ENFOQUE DE PAZ TERRITORIAL, EQUIDAD SOCIAL, INTEGRACIÓN REGIONAL CRECIMIENTO E INNOVACIÓN VERDE CON ENFOQUE DIFERENCIAL.
</t>
  </si>
  <si>
    <t>JARBEY YAMITH RUANO MEJIA</t>
  </si>
  <si>
    <t>https://www.contratos.gov.co/consultas/detalleProceso.do?numConstancia=20-12-10571297</t>
  </si>
  <si>
    <t>PRESTACIÓN DE SERVICIOS PROFESIONALES PARA APOYAR EL ACOMPAÑAMIENTO, IDENTIFICACIÓN, FORMULACIÓN Y PRIORIZACIÓN DEL PROYECTO "FORTALECIMIENTO PARA EL DESARROLLO INTEGRAL FRONTERIZO Y TRANSFRONTERIZO DE LOS MUNICIPIOS DE LA ZIFEC, EN EL DEPARTAMENTO DE NARIÑO", Y DEMÁS ACTIVIDADES DE COOPERACIÓN INTERNACIONAL QUE REQUIERA EL ASESOR DE ASUNTOS DE FRONTERA Y BINACIONALES.</t>
  </si>
  <si>
    <t>EDGAR ORLANDO  MEJIA ORTEGA</t>
  </si>
  <si>
    <t>https://www.contratos.gov.co/consultas/detalleProceso.do?numConstancia=20-12-10571081</t>
  </si>
  <si>
    <t>PRESTACION DE SERVICIOS PERSONALES DE APOYO A LA GESTION CON LA RECOLECCION DE INFORMACION Y DEMAS ACTIVIDADES ADMINISTRATIVAS Y LOGISTICAS NECESARIAS PARA EL DESARROLLO DEL PROYECTO EN EL FORTALECIMIENTO PARA EL DESARROLLO INTEGRAL FRONTERIZO Y TRANSFRONTERIZO DE LOS MUNICIPIOS DE LA ZIFEC, EN EL DEPARTAMENTO DE NARIÑO.</t>
  </si>
  <si>
    <t>JONNY WILMER RIVERA</t>
  </si>
  <si>
    <t>https://www.contratos.gov.co/consultas/detalleProceso.do?numConstancia=20-12-10571021</t>
  </si>
  <si>
    <t xml:space="preserve">EL CONTRATISTA SE OBLIGA A PRESTAR SUS SERVICIOS PERSONALES COMO AUXILIAR JURIDICO FRENTE A LOS TRAMITES RELACIONADOS CON PROESOS DE FORTALECIMIENTO DE LA CULTURA AMBIENTAL PARA EL MANEOJO SOSTENIBLE DE LOS RECURSOS NATURALES DE DEPARTAMENTO DE NARIÑO. </t>
  </si>
  <si>
    <t>MARIA ALEJANDRA ARGOTY MORILLO</t>
  </si>
  <si>
    <t>https://www.contratos.gov.co/consultas/detalleProceso.do?numConstancia=20-12-10609054</t>
  </si>
  <si>
    <t>EL CONTRATISTA SE OBLIGA CON EL DEPARTAMENTO A PRESTAR SUS SERVICIOS PROFESIONALES COMO CONTADORA PUBLICA, DE MANERA AUTONOMA E INDEPENDIENTE, PARA APOYAR LA CONTADURIA GENERAL DEL DEPARTAMENTO. LO ANTERIOR DE CONFORMIDAD CON LOS DOCUMENTOS DEL PROCESO QUE HACEN PARTE INTEGRAL DEL CONTRATO.</t>
  </si>
  <si>
    <t>https://www.contratos.gov.co/consultas/detalleProceso.do?numConstancia=20-12-10570046</t>
  </si>
  <si>
    <t>EL CONTRATISTA SE OBLIGA A PRESTAR SUS SERVICIOS PROFESIONALES COMO ABOGADO EN LA SUBSECRETARIA DE TALENTO HUMANO DEL DEPARTAMENTO QUE CONSISTE EN APLICAR SUS CONOCIMIENTOS EN EL AREA JURIDICA PARA TRAMITAR COBRO Y PAGO DE CUOTAS PARTES PENSIONALES EN LOS QUE SEA PARTE EL DEPARTAMENTO DE NARIÑO. LO ANTERIOR DE CONFORMIDAD CON LOS DOCUMENTOS DEL PROCESO QUE HACEN PARTE INTEGRAL DEL CONTRATO.</t>
  </si>
  <si>
    <t>MARIA FERNANDA ORTEGA LOPEZ</t>
  </si>
  <si>
    <t>https://www.contratos.gov.co/consultas/detalleProceso.do?numConstancia=20-12-10571196</t>
  </si>
  <si>
    <t>EL CONTRATISTA SE OBLIGA CON EL DEPARTAMENTO A PRESTAR SUS SERVICIOS DE APOYO A LA GESTION EN LA SUBSECRETARIA DE RENTAS, EN EL PROCESO DE DETERMINACION Y LIQUIDACION DE LOS IMPUESTOS DE REGISTRO Y VEHICULOS AUTOMOTORES EN EL DEPARTAMENTO DE NARIÑO, ORGANIZACION ARCHIVISTICA Y DEMAS ACTIVIDADES QUE SE DERIVEN DE ESTE.</t>
  </si>
  <si>
    <t>https://www.contratos.gov.co/consultas/detalleProceso.do?numConstancia=20-12-10640898</t>
  </si>
  <si>
    <t xml:space="preserve">	EL CONTRATISTA SE OBLIGA CON EL DEPARTAMENTO A PRESTAR SUS SERVICIOS PROFESIONALES, COMO ABOGADO, PARA EL TRAMITE DE PROCESOS ADMINISTRATIVOS CONTRAVENCIONALES, ASUMIR LA REPRESENTACION LEGAL Y DEMAS ASPECTOS JURIDICOS QUE DEBAN SER ATENDIDOS EN LA SUBSECRETARIA DE RENTAS DEL DEPARTAMENTO DE NARIÑO.</t>
  </si>
  <si>
    <t>WILLIAM ROBERT ALVAREZ RUIZ</t>
  </si>
  <si>
    <t>https://www.contratos.gov.co/consultas/detalleProceso.do?numConstancia=20-12-10633274</t>
  </si>
  <si>
    <t>PRESTAR SUS SERVICIOS DE APOYO A LA GESTION COMO AUXILIAR JURIDICO, FRENTE A LOS PROCESOS Y TRAMITES RELACIONADOS CON LOS IMPUESTOS DE REGISTRO Y DE VEHICULOS AUTOMOTORES QUE DEBAN SER ATENDIDOS EN LA SUBSECRETARIA DE RENTAS, ADSCRITA A LA SECRETARIA DE HACIENDA DEL DEPARTAMENTO.</t>
  </si>
  <si>
    <t>YULIANI RAMOS ASCUNTAR</t>
  </si>
  <si>
    <t>https://www.contratos.gov.co/consultas/detalleProceso.do?numConstancia=20-12-10634068</t>
  </si>
  <si>
    <t xml:space="preserve">EL CONTRATISTA SE OBLIGA CON EL DEPARTAMENTO A PRESTAR SUS SERVICIOS DE APOYO A LA GESTIÓN EN LA SUBSECRETARIA DE RENTAS EN EL PROCESO DE DETERMINACIóN Y LIQUIDACIóN DE LOS IMPUESTOS DE REGISTRO Y VEHíCULOS AUTOMOTORES EN EL DEPARTAMENTO DE NARIñO Y LAS DEMáS ACTIVIDADES QUE SE DERIVEN DE ESTE. </t>
  </si>
  <si>
    <t>HARRY COLORADO VASQUEZ</t>
  </si>
  <si>
    <t>https://www.contratos.gov.co/consultas/detalleProceso.do?numConstancia=20-12-10641306</t>
  </si>
  <si>
    <t xml:space="preserve">PRESTAR SUS SERVICIOS EN EL PROCESO DE DETERMINACION Y LIQUIDACION DE LOS IMPUESTOS DE REGISTRO Y VEHICULOS AUTOMOTORES EN EL DEPARTAMENTO DE NARIÑO Y LAS DEMAS ACTIVIDADES QUE SE DERIVEN DE ESTE. </t>
  </si>
  <si>
    <t>https://www.contratos.gov.co/consultas/detalleProceso.do?numConstancia=20-12-10639420</t>
  </si>
  <si>
    <t>PRESTACION DE SERVICIOS PROFESIONALES, PARA APOYAR EL COMPONENTE DE PARTICIPACION DE LA SUBSECRETARIA DE PAZ Y DERECHOS HUMANOS. LO ANTERIOR DE CONFORMIDAD CON LOS DOCUMENTOS DEL PROCESO, QUE HACEN PARTE INTEGRAL DEL CONTRATO.</t>
  </si>
  <si>
    <t>ANA SOFIA PANTOJA RAMIREZ</t>
  </si>
  <si>
    <t>https://www.contratos.gov.co/consultas/detalleProceso.do?numConstancia=20-12-10599525</t>
  </si>
  <si>
    <t>2020-04-02</t>
  </si>
  <si>
    <t xml:space="preserve">EL CONTRATISTA SE OBLIGA A PRESTAR SUS SERVICIOS PROFESIONALES COMO CONTADORA PUBLICA EN CONTADURÍA GENERAL DEL DEPARTAMENTO, DE MANERA AUTÓNOMA E INDEPENDIENTE, PARA APOYAR A LA CONTADURÍA GENERAL DEL DEPARTAMENTO. DE CONFORMIDAD CON LOS DOCUMENTOS DEL PROCESO, QUE HACEN PARTE INTEGRAL DEL CONTRATO.
</t>
  </si>
  <si>
    <t>https://www.contratos.gov.co/consultas/detalleProceso.do?numConstancia=20-12-10525921</t>
  </si>
  <si>
    <t>SANDRA DEL SOCORRO BRAVO CERON</t>
  </si>
  <si>
    <t>2020-04-21</t>
  </si>
  <si>
    <t>EL CONTRATISTA SE COMPROMETE CON EL DEPARTAMENTO A PRESTAR POR SUS PROPIOS MEDIOS, CON PLENA AUTONOMIA TECNICA Y ADMINISTRATIVA, SUS SERVICIOS PROFESIONALES COMO INGENIERO AMBIENTAL, PARA BRINDAR APOYO EN LA IMPLEMENTACION DEL SUBPROGRAMA DE ARTICULACION E INTEGRACION REGIONAL EN LO REFERENTE A IMPLEMENTACION DE PROCESOS Y ACCIONES QUE CONTRIBUYAN DE MANERA EFECTIVA AL ACOMPAÑAMIENTO TECNICO DE LAS ENTIDADES TERRITORIALES DEL DEPARTAMENTO EN LOS PROCESOS DE ORDENAMIENTO TERRITORIAL, FORMULACION, REVISION YO AJUSTE DE INSTRUMENTOS DE ORDENAMIENTO TERRITORIAL Y FORMULACION DEL PLAN DE ORDENAMIENTO DEPARTAMENTAL.</t>
  </si>
  <si>
    <t xml:space="preserve">DAVID ALEJANDRO MAYA NOGUERA </t>
  </si>
  <si>
    <t>https://www.contratos.gov.co/consultas/detalleProceso.do?numConstancia=20-12-10624600</t>
  </si>
  <si>
    <t>EL CONTRATISTA SE COMPROMETE PARA CON EL DEPARTAMENTO A PRESTAR, POR SUS PROPIOS MEDIOS, CON PLENA AUTONOMIA TECNICA Y ADMINISTRATIVA, SUS SERVICIOS PROFESIONALES COMO ABOGADO PARA EL APOYO JURIDICO EN EL SEGUIMIENTO DE LOS PROYECTOS DE INVERSION PRESENTADOS A OCAD REGION PACIFICO FINANCIADOS CON RECURSOS DEL SISTEMA GENERAL DE REGALIAS SGR, QUE HAYAN SIDO DECLARADOS EN ESTADO CRITICO POR EL DEPARTAMENTO NACIONAL DE PLANEACION O QUE SE ENCUENTREN EN EL MARCO DE UN PROCESO ADMINISTRATIVO PREVENTIVO O CORRECTIVO SANCIONATORIO. LO ANTERIOR DE CONFORMIDAD CON LOS DOCUMENTOS DEL PROCESO, QUE HACEN PARTE INTEGRAL DEL CONTRATO.</t>
  </si>
  <si>
    <t>https://www.contratos.gov.co/consultas/detalleProceso.do?numConstancia=20-12-10599089</t>
  </si>
  <si>
    <t xml:space="preserve">EL CONTRATISTA SE COMPROMETE PARA CON EL DEPARTAMENTO A PRESTAR POR SUS PROPIOS MEDIOS CON PLENA AUTONOMÍA TÉCNICA Y ADMINISTRATIVA SUS SERVICIOS PROFESIONALES COMO INGENIERA CIVIL PARA EL APOYO EN EL SEGUIMIENTO  DE LOS PROYECTOS PRESENTADOS  A OCAD REGIÓN PACIFICO FINANCIADOS CON RECURSOS DEL SISTEMA GENERAL DE REGALÍAS  - SRG, PARA EL DEPARTAMENTO DE NARIÑO. LO ANTERIOR DE CONFORMIDAD CON LOS DOCUMENTOS DEL PROCESO, QUE HACEN PARTE INTEGRAL DEL CONTRATO.
</t>
  </si>
  <si>
    <t>DANIELA ELIZABETH PANTOJA PANTOJA</t>
  </si>
  <si>
    <t>https://www.contratos.gov.co/consultas/detalleProceso.do?numConstancia=20-12-10581443</t>
  </si>
  <si>
    <t>2020-07-14</t>
  </si>
  <si>
    <t>2020-04-29</t>
  </si>
  <si>
    <t xml:space="preserve">EL CONTRATISTA SE OBLIGA A PRESTAR SUS SERVICIOS PROFESIONALES COMO ABOGADO EN LA SUBSECRETARIA DE TALENTO HUMANO  DE DEPARTAMENTO CONSISTENTE EN APLICAR SUS CONOCIMIENTOS PROFESIONALES EN EL AREA JURIDICA  PARA APOYAR EN LOS PROCESOS Y TRAMITAR EL COBRO DE CUOTAS PARTES PENSIONALES EN LOS QUE SEA PARTE EL DEPARTAMENTO DE NARIÑO </t>
  </si>
  <si>
    <t>JIMY RENE PASCUAZA BENAVIDES</t>
  </si>
  <si>
    <t>https://www.contratos.gov.co/consultas/detalleProceso.do?numConstancia=20-12-10556754</t>
  </si>
  <si>
    <t>EL CONTRATISTA SE  OBLIGA A PRESTAR SUS SERVICIOS PROFESIONALES COMO ABOGADO EN LA SUBSECRETARÍAD E TALENTO HUMANO DE DEPARTAMENTO CONSISTENTE EN EPLICAR SUS CONOCIMIENTOS EN EL AREA JURIDICA TRAMITAR EL COBRO DE CUOTAS PARTES PENSIONALES  A TRAVES DE LOS PROCESOS  COERCITIVO Y Y COACTIVO COMO PARA LA FORMALIZACION  Y LEGALIZACION  DE ACUERDOS DE PAGO EN FAVOR DEL DEPARTAMENTO DE NARIÑO.</t>
  </si>
  <si>
    <t>JENNY CAROLINA ROJAS PEREZ</t>
  </si>
  <si>
    <t>https://www.contratos.gov.co/consultas/detalleProceso.do?numConstancia=20-12-10593283</t>
  </si>
  <si>
    <t>EL CONTRATISTA SE OBLIGA CON EL DEPARTAMENTO A PRESTAR SUS SERVICIOS PROFESIONALES COMO CONTADOR PUBLICO EN LA SUBSECRETARIA DE TALENTO HUMANO DEL DEPARTAMENTO, CONSISTENTE EN APLICAR SUS CONOCIMIENTOS PROFESIONALES EN EL ÁREA CONTABLE PARA APOYAR EN EL ANÁLISIS, LIQUIDACIÓN Y VERIFICACIÓN DEL CUMPLIMIENTO DE LOS SOPORTES Y REQUISITOS DE LA CUOTAS PARTES POR PAGAR Y POR COBRAR ESTABLECIENDO CON OBJETIVIDAD EL VALOR REAL ADEUDADO. LO ANTERIOR DE CONFORMIDAD CON LOS DOCUMENTOS DEL PROCESO, QUE HACEN PARTE INTEGRAL DEL CONTRATO.</t>
  </si>
  <si>
    <t>ANNA MILENA LASSO URBANO</t>
  </si>
  <si>
    <t>https://www.contratos.gov.co/consultas/detalleProceso.do?numConstancia=20-12-10557227</t>
  </si>
  <si>
    <t xml:space="preserve">PRESTAR SUS SERVICIOS PROFESIONALES COMO ABOGADO, PARA APOYAR LA GESTIóN CONTRACTUAL QUE EL DEPARTAMENTO DE NARIñO EJECUTA A TRAVéS DEL DAC, LOS PROCEDIMIENTOS NECESARIOS TENDIENTES A LA IMPOSICIóN DE MULTAS, DECLARATORIAS DE INCUMPLIMIENTO, CADUCIDAD O APLICACIóN DE CLAUSULAS EXORBITANTES,  Y DEMáS ASPECTOS JURíDICOS QUE DEBAN SER ATENDIDOS POR DICHA DEPENDENCIA </t>
  </si>
  <si>
    <t>VIVIANA PAZ ARTURO</t>
  </si>
  <si>
    <t>2020-10-11</t>
  </si>
  <si>
    <t>https://www.contratos.gov.co/consultas/detalleProceso.do?numConstancia=20-12-10502182</t>
  </si>
  <si>
    <t>PRESTAR SUS SERVICIOS PROFESIONALES COMO ABOGADO, PARA APOYAR LA GESTIóN CONTRACTUAL QUE EL DEPARTAMENTO DE NARIñO EJECUTA A TRAVéS DEL DAC, LOS PROCEDIMIENTOS NECESARIOS TENDIENTES A LA IMPOSICIóN DE MULTAS, DECLARATORIAS DE INCUMPLIMIENTO, CADUCIDAD O APLICACIóN DE CLAUSULAS EXORBITANTES,  Y DEMáS ASPECTOS JURíDICOS QUE DEBAN SER ATENDIDOS POR DICHA DEPENDENCIA.</t>
  </si>
  <si>
    <t>NATHALIA FERNANDA RAMOS OBANDO</t>
  </si>
  <si>
    <t>https://www.contratos.gov.co/consultas/detalleProceso.do?numConstancia=20-12-10511477</t>
  </si>
  <si>
    <t>PRESTAR SUS SERVICIOS PROFESIONALES COMO ABOGADA, PARA APOYAR LA GESTIóN CONTRACTUAL QUE EL DEPARTAMENTO DE NARIñO EJECUTA A TRAVéS DEL DAC, LOS PROCEDIMIENTOS NECESARIOS TENDIENTES A LA IMPOSICIóN DE MULTAS, DECLARATORIAS DE INCUMPLIMIENTO, CADUCIDAD O APLICACIóN DE CLAUSULAS EXORBITANTES,  Y DEMáS ASPECTOS JURíDICOS QUE DEBAN SER ATENDIDOS POR DICHA DEPENDENCIA.</t>
  </si>
  <si>
    <t>LILIANA PATRICIA PORTILLA ORBES</t>
  </si>
  <si>
    <t>https://www.contratos.gov.co/consultas/detalleProceso.do?numConstancia=20-12-10511294</t>
  </si>
  <si>
    <t xml:space="preserve">PRESTACION DE SERVICIOS PROFESIONALES COMO ABOGADO PARA APOYAR LAS ACTIVIDADES JURIDICAS CONTRACTUALES Y RESTITUCIÓN DE TIERRAS EN LA SUBSECRETARIA DE PAZ Y DERECHOS HUMANOS </t>
  </si>
  <si>
    <t>JOSE EDGAR RUANO CHAVES</t>
  </si>
  <si>
    <t>https://www.contratos.gov.co/consultas/detalleProceso.do?numConstancia=20-12-10591501</t>
  </si>
  <si>
    <t>LA CONTRATISTA SE OBLIGA A PRESTAR SUS SERVICIOS PROFESIONALES EN LA SUBSECRETARÍA DE TALENTO HUMANO OFICINA DE CUOTAS PARTES PENSIONALES DE LA GOBERNACIÓN DE NARIÑO CONSISTENTE EN ORGANIZAR Y SISTEMATIZAR EL ARCHIVO DE LAS HOJAS DE VIDA DE LOS PENSIONADOS  CON EL FIN DE REVISAR Y ACTUALIZAR LA INFORMACIÓN SUMINISTRADA POR LAS DIFERENTES BASES DE DATOS DE CUOTAS PARTES PENSIONALES DE CADA ENTIDAD DE ACUERDO A LOS REQUISITOS EXIGIDOS POR EL COBRO  Y PAGO DE LAS MISMAS</t>
  </si>
  <si>
    <t>ANABELY HERMOSA MENA</t>
  </si>
  <si>
    <t>https://www.contratos.gov.co/consultas/detalleProceso.do?numConstancia=20-12-10581562</t>
  </si>
  <si>
    <t>PRESTAR SUS SERVICIOS DE APOYO A LA GESTION FRENTE A LOS PROCESOS JURIDICOS QUE SE ADELANTEN DESDE LA SUBSECRETARIA DE DESARROLLO COMUNITARIO PARA EL FORTALECIMIENTO DE LA SOBERANIA SOCIO CULTURAL Y GOBERNANZA DE LOS CONSEJOS COMUNITARIOS Y LAS ORGANIZACIONES AFRO DEL DEPARTAMENTO DE NARIÑO. LO ANTERIOR DE CONFORMIDAD CON LOS DOCUMENTOS DEL PROCESO, QUE HACEN PARTE INTEGRAL DEL CONTRATO.</t>
  </si>
  <si>
    <t>DIANA CAROLINA CARVAJAL GUERRERO</t>
  </si>
  <si>
    <t>https://www.contratos.gov.co/consultas/detalleProceso.do?numConstancia=20-12-10599180</t>
  </si>
  <si>
    <t xml:space="preserve">PRESTAR SUS SERVICIOS PROFESIONALES COMO ABOGADO PARA APOYAR LA GESTIÓN CONTRACTUAL QUE EL DEPARTAMENTO DE NARIÑO EJECUTA A TRAVÉS DEL DAC Y DEMÁS ASPECTOS JURÍDICOS QUE DEBAN SER ATENDIDOS POR DICHA DEPENDENCIA. </t>
  </si>
  <si>
    <t>DEIBY ORLANDO FAJARDO ENRIQUEZ</t>
  </si>
  <si>
    <t>https://www.contratos.gov.co/consultas/detalleProceso.do?numConstancia=20-12-10549678</t>
  </si>
  <si>
    <t>2020-05-12</t>
  </si>
  <si>
    <t>PRESTACION DE SERVICIOS PROFESIONALES COMO ABOGADO EN LA OFICINA DE COBRO COACTIVO COORDINADO POR LA TESORERIA GENERAL DEL DEPARTAMENTO DE NARIÑO EN LA SUSTANCIACION E IMPULSO DE LOS PROCESOS ADMINISTRATIVOS DE COBRO COACTIVO DE LA GOBERNACION DE NARIÑO RESPECTO DE LA CARTERA MOROSA.</t>
  </si>
  <si>
    <t>RICARDO JAVIER GUERRERO ENRIQUEZ</t>
  </si>
  <si>
    <t>https://www.contratos.gov.co/consultas/detalleProceso.do?numConstancia=20-12-10680452</t>
  </si>
  <si>
    <t>HUGO RAMIRO SANTANDER JIMENEZ</t>
  </si>
  <si>
    <t>https://www.contratos.gov.co/consultas/detalleProceso.do?numConstancia=20-12-10639475</t>
  </si>
  <si>
    <t xml:space="preserve">	EL CONTRATISTA SE OBLIGA CON EL DEPARTAMENTO A PRESTAR SUS SERVICIOS PROFESIONALES COMO CONTADOR PUBLICO EN LA TESORERIA GENERAL DEL DEPARTAMENTO DE NARIÑO, LO ANTERIOR DE CONFORMIDAD CON LOS DOCUMENTOS DEL PROCESO, QUE HACEN PARTE INTEGRAL DEL CONTRATO.</t>
  </si>
  <si>
    <t>MARCELA DEL CARMEN ACOSTA OBANDO</t>
  </si>
  <si>
    <t>https://www.contratos.gov.co/consultas/detalleProceso.do?numConstancia=20-12-10599334</t>
  </si>
  <si>
    <t xml:space="preserve">PRESTAR SUS SERVICIOS DE APOYO A LA GESTION EN ALMACEN GENERAL DEPENDENCIA ADSCRITA A SECRETARIA GENERAL PARA LA VERIFICACION DE LOS BIENES MUEBLES QUE SE ENCUENTREN ASIGNADO AL PERSONAL DE LA GOBERNACION DE NARIñO DE ACUERDO AL REPORTE DE ALMACEN GENERAL CON SU RESPECTIVA PROYECCION DE INFORME DOCUMENTAL, REGISTRO EN EL MODULO DE ALMACEN SYSMAN Y DEMAS ACTIVIDADES, NOVEDADES Y MODIFIUCACIONES QUE DEBAN SER ATENDIDAS EN ALMACEN GENERAL </t>
  </si>
  <si>
    <t>EYDER RICARDO LOPEZ CABRERA</t>
  </si>
  <si>
    <t>2020-09-12</t>
  </si>
  <si>
    <t>https://www.contratos.gov.co/consultas/detalleProceso.do?numConstancia=20-12-10640598</t>
  </si>
  <si>
    <t>EL CONTRATISTA SE OBLIGA CON EL DEPARTAMENTO A PRESTAR SUS SERVICIOS PROFESIONALES COMO CONTADOR PUBLICO EN LA TESORERIA GENERAL DEL DEPARTAMENTO DE NARIÑO, LO ANTERIOR DE CONFORMIDAD CON LOS DOCUMENTOS DEL PROCESO, QUE HACEN PARTE INTEGRAL DEL CONTRATO.</t>
  </si>
  <si>
    <t>JAIRO ARTEMIO TIMANA CHAVES</t>
  </si>
  <si>
    <t>https://www.contratos.gov.co/consultas/detalleProceso.do?numConstancia=20-12-10633334</t>
  </si>
  <si>
    <t xml:space="preserve">EL CONTRATISTA SE OBLIGA A PRESTAR POR SUS  PROPIOS MEDIOS Y CON PLENA AUTONOMíA SUS SERVICIOS  COMO ADMINISTRADOR PUBLICOS COMO APOYO DE LA SECRETARIA DE RECREACIóN Y DEPORTES DEL DEPARTAMENTO DE NARIñO PARA LA ATENCION DE ASUNTOS ADMINISTRATIVOS Y FINANCIERSO DE LAS LIGAS DEPORTIVAS Y DEMAS ACTIVIDADES ADMINISTRATIVAS ASIGNADAS A ESTA DEPENDENCIA </t>
  </si>
  <si>
    <t>JOHN ALEXANDER ARCOS LOPEZ</t>
  </si>
  <si>
    <t>2020-10-13</t>
  </si>
  <si>
    <t>https://www.contratos.gov.co/consultas/detalleProceso.do?numConstancia=20-12-10599422</t>
  </si>
  <si>
    <t>MILENA MERCEDES AREVALO MONCAYO</t>
  </si>
  <si>
    <t>2020-04-14</t>
  </si>
  <si>
    <t xml:space="preserve">EL CONTRATISTA SE OBLIGA A PRESTAR SUS SERVICIOS PROFESIONALES PARA APOYAR LOS ASUNTOS JURÌDICOS QUE DEBAN SER ATENDIDOS EN EL PROGRAMA DE SOBERANIA Y SEGURIDAD ALIMENTARIA Y NUTRICIONAL Y LA SECCION DE COOPERACION INTERNACIONAL DE LA GOBERNACION DE NARIÑO EN LA EJECUCION DE LOS PLANES DE ACCION 2020. </t>
  </si>
  <si>
    <t>EDITH XIMENA MANOSALVA YELA</t>
  </si>
  <si>
    <t>2020-10-14</t>
  </si>
  <si>
    <t>https://www.contratos.gov.co/consultas/detalleProceso.do?numConstancia=20-12-10591137</t>
  </si>
  <si>
    <t xml:space="preserve">EL CONTRATISTA SE OBLIGA A PRESTAR SUS SERVICIOS PROFESIONALES PARA APOYAR LOS ASUNTOS ADMINISTRATIVOS Y FINANCIEROS QUE DEBAN SER ATENDIDOS EN EL PROGRAMA DE SOBERANIA Y SEGURIDAD ALIMENTARIA Y NUTRICIONAL Y LA SECCION DE COOPERACION INTERNACIONAL DE LA GOBERNACION DE NARIÑO EN LA EJECUCION DE LOS PLANES DE ACCION 2020. </t>
  </si>
  <si>
    <t>OSCAR RICARDO LEITON CAMACHO</t>
  </si>
  <si>
    <t>https://www.contratos.gov.co/consultas/detalleProceso.do?numConstancia=20-12-10597319</t>
  </si>
  <si>
    <t xml:space="preserve">EL CONTRATISTA SE OBLIGA A PRESTAR SUS SERVICIOS DE APOYO A LA GESTION PARA EL FORTALECIMIENTO DE LAS ACCIONES EN EL MARCO DEL PROGRAMA DE SOBERANIA Y SEGURIDAD ALIMENTARIA Y NUTRICIONAL Y LA SECCION DE COOPERACION INTERNACIONAL DE LA GOBERNACION DE NARIÑO EN LA EJECUCION DE LOS PLANES DE ACCION 2020. </t>
  </si>
  <si>
    <t>PEDRO PABLO BURBANO PINCHAO</t>
  </si>
  <si>
    <t>https://www.contratos.gov.co/consultas/detalleProceso.do?numConstancia=20-12-10597072</t>
  </si>
  <si>
    <t>EL CONTRATISTA SE OBLIGA CON EL DEPARTAMENTO A PRESTAR SUS SERVICIOS PARA REALIZAR ACTIVIDADES CONSISTENTES EN LA ATENCION LOGISTICA DE EVENTOS EN LOS QUE PUBLICITE EL PRODUCTO AGUARDIENTE NARIÑO Y APOYO LOGISTICO EN ACTIVIDADES REQUERIDAS EN BODEGAS DE ALMACENAMIENTO DE LICOR A CARGO DEL DEPARTAMENTO. LO ANTERIOR DE CONFORMIDAD CON LOS DOCUMENTOS DEL PROCESO, QUE HACEN PARTE INTEGRAL DEL CONTRATO.</t>
  </si>
  <si>
    <t>https://www.contratos.gov.co/consultas/detalleProceso.do?numConstancia=20-12-10634245</t>
  </si>
  <si>
    <t>PRESTACION DE SERVICIOS PROFESIONALES COMO INGENIERO DE SISTEMAS PARA EL DESARROLLO WEB, APLICACIONES, MANTENIMIENTO DE PLATAFORMAS Y WEB MASTER DE LA SECRETARIA TIC, INNOVACION Y GOBIERNO ABIERTO.</t>
  </si>
  <si>
    <t>SEBASTIAN BLADIMIR DELGADO MARCILLO</t>
  </si>
  <si>
    <t>2020-10-17</t>
  </si>
  <si>
    <t>https://www.contratos.gov.co/consultas/detalleProceso.do?numConstancia=20-12-10632707</t>
  </si>
  <si>
    <t xml:space="preserve">EL CONTRATISTA DEBE PRESTAR POR SUS PROPIOS MEDIOS, CON PLENA AUTONOMíA TéCNICA Y ADMINISTRATIVA, SUS SERVICIOS PROFESIONALES COMO ABOGADO DE LA SECRETARíA DE RECREACIóN Y DEPORTE DEL DEPARTAMENTO DE NARIñO, PARA ATENDER TODOS LOS ASUNTOS RELACIONADOS CON LOS PROCESOS DE CONTRACTUALES ESPECIALMENTE EN LA PROYECCION DE INFORMES DE SUPERVISIÓNY ACTAS DE LIQUIDACION, ASí COM DEMáS ACTUACIONES JURíDICOS ENCOMENDADAS A DICHA DEPENDENCIA </t>
  </si>
  <si>
    <t>MILO DAVID BOLAÑOS MESIAS</t>
  </si>
  <si>
    <t>https://www.contratos.gov.co/consultas/detalleProceso.do?numConstancia=20-12-10596529</t>
  </si>
  <si>
    <t>EL CONTRATISTA SE COMPROMETE PARA CON EL DEPARTAMENTO A PRESTAR SUS SERVICIOS PROFESIONALES EN LAS ACTIVIDADES DE SEGUIMIENTO, EVALUACION Y VERIFICACION DE LOS PROYECTOS APROBADOS POR LA ADMINISTRACION DEPARTAMENTAL, FINANCIADOS CON RECURSOS DEL SGR, SGP Y RECURSOS PROPIOS, ASI COMO APOYAR EL DESARROLLO DE LA AUDITORIAS DE LA OFICINA DE CONTROL INTERNO DE GESTION EN LAS AREAS ADMINISTRATIVAS, AMBIENTALES, CULTURALES, TECNICAS Y SOCIALES, QUE ADELANTAN LAS DIFERENTES DEPENDENCIAS DE LA ADMINISTRACION CENTRAL. ASI MISMO, APOYARA EN EL SEGUIMIENTO A LOS PLANES DE MEJORAMIENTO INTERNOS Y EXTERNOS SUSCRITOS POR LA GOBERNACION DE NARIÑO. LO ANTERIOR DE CONFORMIDAD CON LOS DOCUMENTOS DEL PROCESO QUE HACEN PARTE INTEGRAL DEL CONTRATO.</t>
  </si>
  <si>
    <t>JAVIER ALBERTO BURBANO ANDRADE</t>
  </si>
  <si>
    <t>https://www.contratos.gov.co/consultas/detalleProceso.do?numConstancia=20-12-10591068</t>
  </si>
  <si>
    <t>PRESTACION DE SERVICIOS PROFESIONALES COMO INGENIERO ELECTRONICO PARA APOYAR EN LA FORMULACION, ARTICULACION, SEGUIMIENTO Y CONTROL DE LOS PROYECTOS PRIORIZADOS EN EL MARCO DEL PLAN DE DESARROLLO DENTRO DEL COMPONENTE TIC. LO ANTERIOR DE CONFORMIDAD CON LOS DOCUMENTOS DEL PROCESO QUE HACEN PARTE INTEGRAL DEL CONTRATO.</t>
  </si>
  <si>
    <t>ANDRES MARINO ORDOÑEZ ORDOÑEZ</t>
  </si>
  <si>
    <t>https://www.contratos.gov.co/consultas/detalleProceso.do?numConstancia=20-12-10590994</t>
  </si>
  <si>
    <t>PRESTACION DE SERVICIOS DE APOYO A LA GESTION COMO AUXILIAR JURIDICO EN LA OFICINA DE COBRO COACTIVO, COORDINADO POR LA TESORERIA GENERAL DEL DEPARTAMENTO DE NARIÑO, EN LA SUSTANCIACION E IMPULSO DE LOS PROCESOS ADMINISTRATIVO DE COBRO COACTIVO DE LA GOBERNACION DE NARIÑO.</t>
  </si>
  <si>
    <t>2020-09-17</t>
  </si>
  <si>
    <t>[{"fecha_suscripcion'":"2020-09-17","fecha_legalizacion":"2020-10-08","tipo Adicion":"Tiempo y Valor","valor":"7.773.333,00","tiempo":"89-"}]</t>
  </si>
  <si>
    <t>https://www.contratos.gov.co/consultas/detalleProceso.do?numConstancia=20-12-10623734</t>
  </si>
  <si>
    <t xml:space="preserve">PRESTACIÓN DE SERVICIOS PROFESIONALES PARA BRINDAR ACOMPAÑAMIENTO Y SERVIR DE SOPORTE TÉCNICO A LA SUBSECRETARÍA DE TRANSITO Y TRANSPORTE DEPARTAMENTAL DE NARIÑO Y SUS SEDES OPERATIVAS EN LOS PROCESOS CONCERNIENTES DE: REGISTRO NACIONAL DE ACCIDENTALIDAD (RNAT), REGISTRO NACIONAL DE MAQUINARIA AGRICOLA AMARILLA (RNMA), REGISTRO AUTOMOTOR  (RNA) Y MIGRACION DE INFORMACION EN EL SISTEMA  HQ RUNT; IGUALMNENTE APOYAR LA GESTION DENTRO DEL SISTEMA REMEDY Y DEMAS PROCESOS ADELANTADOS POR LA SUBSECRETARÍA DE TRANSITO CON LAS DIFERENTES AUTORIDADES COMPETENTES Y ORGANISMOS DE TRANSITO. LO ANTERIOR DE CONFORMIDAD CON LOS DOCUMENTOS DEL PROCESO, QUE HACEN PARTE INTEGRAL DEL CONTRATO.
</t>
  </si>
  <si>
    <t>https://www.contratos.gov.co/consultas/detalleProceso.do?numConstancia=20-12-10581645</t>
  </si>
  <si>
    <t xml:space="preserve">prestación de servicios de apoyo a la gestión con el fin de apoyar en la supervisión, seguimiento, monitoreo y control del Programa de Alimentación Escolar – PAE </t>
  </si>
  <si>
    <t>Jairo Fernando Avila Martínez</t>
  </si>
  <si>
    <t>https://www.contratos.gov.co/consultas/detalleProceso.do?numConstancia=20-12-10630323</t>
  </si>
  <si>
    <t>PRESTACION DE SERVICIOS PROFESIONALES PARA EL APOYO JURIDICO Y ACOMPAÑAMIENTO  A LOS ORGANISMOS DE ACCION COMUNAL ORGANIZACIONES SIN ANIMO DE LUCRO ORGANIZACIONES SOCIALES Y ATENCION A LOS REQUERIMIENTOS DE LAS COMUNIDADES DEL DEPARTAMENTO DE NARIÑO PRESTACION DE SERVICIOS PROFESIONALES COMO ABOGADA PARA EL APOYO JURIDICO Y ACOMPAÑAMIENTO A LOS ORGANISMOS DE ACCION COMUNAL ORGANIZACIONES SIN ANIMO DE LUCRO ORGANIZACIONES SOCIALES Y ATENCION A LOS REQUERIMIENTOS DE LAS COMUNIDADES DEL DEPARTAMENTO DE NARIÑO</t>
  </si>
  <si>
    <t>ANGELA JACQUELINE RIVERA OJEDA</t>
  </si>
  <si>
    <t>2020-10-18</t>
  </si>
  <si>
    <t>https://www.contratos.gov.co/consultas/detalleProceso.do?numConstancia=20-12-10634503</t>
  </si>
  <si>
    <t>PRESTACION DE SERVICIOS DE APOYO A LA GESTION COMO AUXILIAR JURIDICO EN LA OFICINA DE COBRO COACTIVO COORDINADO POR LA TESORERIA DEL DEPARTAMENTO  DE NARIÑO EN LA SUSTANCIACION  E IMPULSO DE PROCESOS ADMINISTRATIVOS DE COBRO COACTIVO DE LA GOBERNACION DE NARIÑO.</t>
  </si>
  <si>
    <t>CRISTIAN GABRIEL ERASO DELGADO</t>
  </si>
  <si>
    <t>2020-04-23</t>
  </si>
  <si>
    <t>https://www.contratos.gov.co/consultas/detalleProceso.do?numConstancia=20-12-10640845</t>
  </si>
  <si>
    <t xml:space="preserve">PRESTACIóN DE SERVICIOS DE APOYO A LA GESTIóN CON EL FIN DE APOYAR EN LA SUPERVISIóN, SEGUIMIENTO, MONITOREO Y CONTROL DEL PROGRAMA DE ALIMENTACIóN ESCOLAR – PAE. </t>
  </si>
  <si>
    <t>ALBERT JAMES OLIVEROS ANGULO</t>
  </si>
  <si>
    <t>https://www.contratos.gov.co/consultas/detalleProceso.do?numConstancia=20-12-10635841</t>
  </si>
  <si>
    <t xml:space="preserve">PRESTACIóN DE SERVICIOS PROFESIONALES COMO CONTADOR PúBLICO PARA APOYAR LA SUPERVISIóN, SEGUIMIENTO, MONITOREO Y CONTROL DEL PROGRAMA DE ALIMENTACIóN ESCOLAR – PAE </t>
  </si>
  <si>
    <t>OSCAR GERMAN TORRES SUAREZ</t>
  </si>
  <si>
    <t>https://www.contratos.gov.co/consultas/detalleProceso.do?numConstancia=20-12-10635855</t>
  </si>
  <si>
    <t xml:space="preserve">EL CONTRATISTA DEBE PRESTAR POR SUS PROPIOS MEDIOS CON PLENA AUTONOMIA TECNICA Y ADMINISTRATIVA SUS SERVICIOS DE INGENIERO DE SISTEMAS PARA ACTIVIDADES DE APOYO A LA SECRETARIA DE RECREACION Y DEPORTES DEL DEPARTAMENTO DE NARIÑO PARA REALIZAR LABORES DE ASISTENCIA TECNICA EN SISTEMAS Y DEMAS ACTIVIDADES ACORDES A SU PERFIL QUE FUERAN ASIGNADAS A ESTA DEPENDENCIA </t>
  </si>
  <si>
    <t>YOJAN ESTEBAN SANCHEZ GALLARDO</t>
  </si>
  <si>
    <t>2020-10-19</t>
  </si>
  <si>
    <t>https://www.contratos.gov.co/consultas/detalleProceso.do?numConstancia=20-12-10596336</t>
  </si>
  <si>
    <t>EL CONTRATISTA SE COMPROMETE CON EL DEPARTAMENTO A PRESTAR LOS SERVICIOS DE APOYO A LA GESTION EN LA SUBSECRETARIA DE PAZ Y DERECHOS HUMANOS PARA EL FORTALECIMIENTO DE LA MESA DEPARTAMENTAL DE TRABAJO PARA LA PREVENCION, ASISTENCIA Y ATENCION A VICTIMAS DE LA DESAPARICION DE PERSONAS. LO ANTERIOR DE CONFORMIDAD CON LOS DOCUMENTOS DEL PROCESO, QUE HACEN PARTE INTEGRAL DEL CONTRATO.</t>
  </si>
  <si>
    <t>MARTHA LUCIA CEBALLOS VEGA</t>
  </si>
  <si>
    <t>https://www.contratos.gov.co/consultas/detalleProceso.do?numConstancia=20-12-10633191</t>
  </si>
  <si>
    <t>DANIEL FERNANDO CHIZAIZA PAZ</t>
  </si>
  <si>
    <t>https://www.contratos.gov.co/consultas/detalleProceso.do?numConstancia=20-12-10609131</t>
  </si>
  <si>
    <t>https://www.contratos.gov.co/consultas/detalleProceso.do?numConstancia=20-12-10596217</t>
  </si>
  <si>
    <t>https://www.contratos.gov.co/consultas/detalleProceso.do?numConstancia=20-12-10590927</t>
  </si>
  <si>
    <t>EL CONTRATISTA SE OBLIGA A PRESTAR SUS SERVICIOS COMO CONDUCTOR DEL VEHICULO QUE LE ASIGNE EL DEPARTAMENTO, PARA APOYAR LA ATENCION LOGISTICA PERMANENTE EN LOS OPERATIVOS DE CONTROL, QUE SE RELAIZAN EN EL DEPARTAMENTO DE NARIÑO POR PARTE DE LA SUBSECRETARIA DE RENTAS PARA CONTRARRESTAR EL CONTRABANDO LA ADULTERACION DE PRODUCTOS SUJETOS AL CONSUMO Y EL INGRESO ILEGAL DE COMBUSTIBLE.</t>
  </si>
  <si>
    <t>https://www.contratos.gov.co/consultas/detalleProceso.do?numConstancia=20-12-10634291</t>
  </si>
  <si>
    <t>HAROL PRIMITIVO LUNA PALACIOS</t>
  </si>
  <si>
    <t xml:space="preserve">El contratista se compromete con el Departamento en la prestación de servicios de apoyo a la gestión en el componente tecnológico y de comunicaciones en la subsecretaría de gestión pública y su articulación con el Despacho del Gobernador. </t>
  </si>
  <si>
    <t>HENRY HERNANDO INSUASTY ORDOÑEZ</t>
  </si>
  <si>
    <t>https://www.contratos.gov.co/consultas/detalleProceso.do?numConstancia=20-12-10633229</t>
  </si>
  <si>
    <t xml:space="preserve">EL CONTRATISTA SE OBLIGA CON EL DEPARTAMENTO A PRESTAR SUS SERVICIOS PROFESIONALES COMO CONTADOR PUBLICO DE MANERA AUTONOMA E INDEPENDIENTE PARA APOYAR A LA CONTADURIA GENERAL DEL DEPARTAMENTO DE CONFORMIDAD CON LOS DOCUMENTOS DEL PROCESO QUE HACEN PARTE INTEGRAL DEL CONTRATO </t>
  </si>
  <si>
    <t>JHON JAIRO ROSERO PORTILLA</t>
  </si>
  <si>
    <t>https://www.contratos.gov.co/consultas/detalleProceso.do?numConstancia=20-12-10624646</t>
  </si>
  <si>
    <t xml:space="preserve">PRESTACION DE SERVICIOS DE APOYO A LA GESTIóN CON EL FIN DE APOYAR EN LA SUPERVISIóN, SEGUIMIENTO, MONITOREO Y CONTROL DEL PROGRAMA DE ALIMENTACIóN ESCOLAR – PAE </t>
  </si>
  <si>
    <t>SOCRATES LEONEL MONCAYO ÑAÑEZ</t>
  </si>
  <si>
    <t>https://www.contratos.gov.co/consultas/detalleProceso.do?numConstancia=20-12-10635865</t>
  </si>
  <si>
    <t xml:space="preserve">PRESTACION DE SERVICIOS DE APOYO A LA GESTIóN CON EL FIN DE APOYAR EN LA SUPERVISIóN, SEGUIMIENTO, MONITOREO Y CONTROL DEL PROGRAMA DE ALIMENTACIóN ESCOLAR - PAE. </t>
  </si>
  <si>
    <t>https://www.contratos.gov.co/consultas/detalleProceso.do?numConstancia=20-12-10630248</t>
  </si>
  <si>
    <t>EL CONTRATISTA SE OBLIGA CON EL DEPARTAMENTO A PRESTAR SUS SERVICIOS COMO TECNICO DE SISTEMAS, EN LA SECRETARIA TICS, APOYANDO LAS TAREAS DE ASISTENCIA TECNICA REQUERIDAS POR LAS DIFERENTES DEPENDENCIAS DE LA GOBERNACION DE NARIÑO.</t>
  </si>
  <si>
    <t>CAMILO ALEXANDER NARVAEZ</t>
  </si>
  <si>
    <t>https://www.contratos.gov.co/consultas/detalleProceso.do?numConstancia=20-12-10640368</t>
  </si>
  <si>
    <t>PRESTACION DE SERVICIOS PROFESIONALES COMO INGENIERA AMBIENTAL EN LA SECRETARIA DE AMBIENTE Y DESARROLLO SOSTENIBLE DEL DEPARTAMENTO DE NARIÑO, PARA COADYUVAR EN LAS ACTIVIDADES RELACIONADAS CON LA CONSERVACION Y RESTAURACION DE ECOSISTEMAS ESTRATEGICOS PROVEEDORES DE SERVICIOS CON LA IMPLEMENTACION DE ESTRATEGIAS DE PAGO POR SERVICIOS AMBIENTALES EN EL DEPARTAMENTO DE NARIÑO.</t>
  </si>
  <si>
    <t>2020-05-19</t>
  </si>
  <si>
    <t>PRESTAR SUS SERVICIOS PROFESIONALES COMO ABOGADO PARA APOYAR LAS ACCIONES DE FORTALECIMIENTO DE LAS COMISARIAS DE FAMILIA EN EL DEPARTAMENTO DE NARIÑO</t>
  </si>
  <si>
    <t>JUAN PABLO ORTEGA MORA</t>
  </si>
  <si>
    <t>https://www.contratos.gov.co/consultas/detalleProceso.do?numConstancia=20-12-10634408</t>
  </si>
  <si>
    <t xml:space="preserve">EL CONTRATISTA SE COMPROMETE CON EL DEPARTAMENTO A PRESTAR SUS SERVICIOS PROFESIONALES COMO ECONOMISTA PARA APOYAR LA GESTION ADMINISTRATIVA FINANCIERA Y SUPERVISION Y REVISION DE LOS DIFERENTES PROCESOS PROYECTOS PLANES Y PROGRAAS E EL COMPONENTE DE ORDENAMIENTO TERRITORIAL QUE ADELANTA LA SECRETARIA DE PLANEACION Y QUE CONTRIBUYAN DE MANERA EFECTIVA AL FORTALECIMIENTO DE LA GESTION ADMINISTRATIVA DE ESTA DEPENDENCIA </t>
  </si>
  <si>
    <t>FABIO GABRIEL CARDENAS BUSTOS</t>
  </si>
  <si>
    <t>[{"fecha_suscripcion'":"2020-05-01","fecha_legalizacion":"2020-05-06","tipo Adicion":"otra","valor":"0","tiempo":"otra-"}]</t>
  </si>
  <si>
    <t>https://www.contratos.gov.co/consultas/detalleProceso.do?numConstancia=20-12-10633106</t>
  </si>
  <si>
    <t>JESUS ARMANDO MARTINEZ GOMEZ</t>
  </si>
  <si>
    <t>MARCELA JAKQUELINE RIASCOS GRANJA</t>
  </si>
  <si>
    <t>JOHANA CAROLINA BASTIDAS BURGOS</t>
  </si>
  <si>
    <t>2020-06-19</t>
  </si>
  <si>
    <t>2020-06-17</t>
  </si>
  <si>
    <t>2020-11-20</t>
  </si>
  <si>
    <t>https://www.contratos.gov.co/consultas/detalleProceso.do?numConstancia=20-12-10610047</t>
  </si>
  <si>
    <t>RUTH MARISOL PRADO ROSERO</t>
  </si>
  <si>
    <t>https://www.contratos.gov.co/consultas/detalleProceso.do?numConstancia=20-12-10610109</t>
  </si>
  <si>
    <t xml:space="preserve">PRESTACIóN DE SERVICIOS DE APOYO A LA GESTIóN CON EL FIN DE APOYAR EN LA SUPERVISIóN, SEGUIMIENTO, MONITOREO Y CONTROL DEL PROGRAMA DE ALIMENTACIóN ESCOLAR - PAE </t>
  </si>
  <si>
    <t>https://www.contratos.gov.co/consultas/detalleProceso.do?numConstancia=20-12-10630286</t>
  </si>
  <si>
    <t xml:space="preserve">PRESTACION DE SERVICIOS DE APOYO A LA GESTION PARA LA SUSTANCIACION  DE PROCESOS DE COBRO COACTIVO Y DEMAS ASPECTOS JURIDICOS DERIVADOS DE LAS SANCIONES IMPUESTAS POR INFRACCION A LAS NORMAS DE TRANSITO PROPIAS DE LA SUBSECRETARIA DE TRANSITO Y TRANSPORTE DEPARTAMENTAL DE NARIÑO </t>
  </si>
  <si>
    <t>SILVIO GIOVANY ACOSTA BENAVIDES</t>
  </si>
  <si>
    <t>2020-09-21</t>
  </si>
  <si>
    <t>https://www.contratos.gov.co/consultas/detalleProceso.do?numConstancia=20-12-10590854</t>
  </si>
  <si>
    <t>PRESTACION DE SERVICIOS DE APOYO A LA GESTION PARA COADYUVAR A LA CUSTODIA, ADMINISTRACION Y ORGANIZACION DEL ARCHIVO DE LA SUBSECRETARIA DE TRANSITO Y TRANSPORTE DEPARTAMENTAL, REALIZANDO LABORES DE IMPLEMENTACION DE METODOLOGIAS Y TECNICAS ARCHIVISTICAS EN EL RECIBO, CLASIFICACION, DESCRIPCION Y ARCHIVO DE LOS MISMOS CON EL FIN DE GARANTIZAR SU ORGANIZACIÓN Y CONSERVACIÓN. LO ANTERIOR DE CONFORMIDAD CON LOS DOCUMENTOS DEL PROCESO QUE HACEN PARTE INTEGRAL DEL CONTRATO.</t>
  </si>
  <si>
    <t>ANGELA MERCEDES YAQUENO VILLOTA</t>
  </si>
  <si>
    <t>https://www.contratos.gov.co/consultas/detalleProceso.do?numConstancia=20-12-10614019</t>
  </si>
  <si>
    <t>PRESTACION DE SERVICIOS PROFESIONALES COMO ABOGADA, PARA BRINDAR APOYO JURIDICO A LA SECRETARIA DE AGRICULTURA Y DESARROLLO RURAL FRENTE A LOS TRAMITES Y PROCESOS RELACIONADOS CON LA CONTRATACION Y DEMAS ASPECTOS JURIDICOS QUE DEBAN SER ATENDIDOS POR ESTA DEPENDENCIA</t>
  </si>
  <si>
    <t>JOHANA FERNANDA ROMERO ZAMBRANO</t>
  </si>
  <si>
    <t>2020-10-20</t>
  </si>
  <si>
    <t>https://www.contratos.gov.co/consultas/detalleProceso.do?numConstancia=20-12-10633030</t>
  </si>
  <si>
    <t xml:space="preserve">PRESTACION DE SERVICIOS PROFESIONALES COMO ECONOMISTA PARA BRINDAR APOYO Y ACOMPAÑAMIENTO EN EL CARGUE DE LA INFORMACION A LA PLATAFORMA GESPROY DE PROYECTOS PRESENTADOS AL OCAD REGION PACIFICO A CARGO DE LA SECRETARIA DE AGRICULTURA DEL DEPARTAMENTO DE NARIÑO QUE SE FINANCIAN CON RECURSOS DEL SISTEMA GENERAL DE REGALIAS.  </t>
  </si>
  <si>
    <t>LUIS PORFIRIO VILLOTA ENRIQUEZ</t>
  </si>
  <si>
    <t>[{"fecha_suscripcion'":"2020-05-30","fecha_legalizacion":"2020-08-14","tipo Adicion":"otra","valor":"0","tiempo":"otra-"}]</t>
  </si>
  <si>
    <t>https://www.contratos.gov.co/consultas/detalleProceso.do?numConstancia=20-12-10636469</t>
  </si>
  <si>
    <t>EL CONTRATISTA SE OBLIGA A PRESTAR SUS SERVICIOS PROFESIONALES COMO CONTADOR PUBLICO EN LA SUSBSECRETARÍA DE TRANSITO Y TRANSPORTE DEPARTAMENTAL PARA BRINDAR APOYO ADMINISTRATIVO FINANCIERO Y CONTABLE RESPECTO DEL RECAUDO INTERNO Y EXTERNO REALIZADO POR EL DEPARTAMENTO  Y POSTERIOR CONTROL A DISPERSIONES QUE POR TODO CONCEPTO DE MULTAS Y SANCIONES SE DEBAN HACER A LA FEDERACION NACIONAL DE MUNICIPIOS DIPRA.</t>
  </si>
  <si>
    <t>PATRICIA DEL SOCORRO ORTIZ DIAZ</t>
  </si>
  <si>
    <t>https://www.contratos.gov.co/consultas/detalleProceso.do?numConstancia=20-12-10636503</t>
  </si>
  <si>
    <t>PRESTACION DE SERVICIOS DE APOYO A LA GESTION PARA REALIZAR ACTIVIDADES CONSISTENTES EN LA ATENCION LOGISTICA DE EVENTOS EN LOS QUE SE VINCULE PUBLICITARIAMENTE EL DEPARTAMENTO CON EL PRODUCTO AGUARDIENTE NARIÑO Y APOYO LOGISTICO EN ACTIVIDADES REQUERIDAS EN BODEGAS DE ALMACENAMIENTO DE LICOR A CARGO DEL DEPARTAMENTO</t>
  </si>
  <si>
    <t>CHRISTIAN CAMILO OCAÑA ORTEGA</t>
  </si>
  <si>
    <t>https://www.contratos.gov.co/consultas/detalleProceso.do?numConstancia=20-12-10629705</t>
  </si>
  <si>
    <t>EL CONTRATISTA SE OBLIGA CON EL DEPARTAMENTO A PRESTAR SUS SERVICIOS DE APOYO A LA GESTION DE LA SUBSECRETARIA DE RENTAS, EN EL PROCESO DE DETERMINACION Y LIQUIDACION DE LOS IMPUESTOS DE REGISTRO DE VEHICULOS AUTOMOTORES EN EL DEPARTAMENTO DE NARIÑO Y DEMAS ACTIVIDADES QUE SE DERIVEN DE ESTE. LO ANTERIOR DE CONFORMIDAD CON LOS DOCUMENTOS, QUE HACEN PARTE INTEGRAL DEL CONTRATO.</t>
  </si>
  <si>
    <t>CARLOS ANDRES TIMANA LOPEZ</t>
  </si>
  <si>
    <t>https://www.contratos.gov.co/consultas/detalleProceso.do?numConstancia=20-12-10625605</t>
  </si>
  <si>
    <t xml:space="preserve">PRESTACION DE SERVICIOS PARA EL APOYO LOGISTICO PERMANENTE EN LOS OPERATIVOS DE CONTROL, CAPACITACIONES, CAMPAÑAS COMUNICATIVAS, ANALISIS DE INFORMACION QUE SE REALIZAN EN EL DEPARTAMENTO DE NARIÑO POR PARTE DE LA SUBSECRETARIA DE RENTAS, PARA CONTRARRESTAR EL CONTRABANDO, LA ADULTERACION DE PRODUCTOS SUJETOS AL IMPUESTO LA CONSUMO Y EL INGRESO ILEGAL DE COMBUSTIBLES. LO ANTERIOR DE CONFORMIDAD CON LOS DOCUMENTOS DEL PROCESO, QUE HACEN PARTE INTEGRAL DEL CONTRATO.
</t>
  </si>
  <si>
    <t>JORGE RAMIRO ARGOTE</t>
  </si>
  <si>
    <t>https://www.contratos.gov.co/consultas/detalleProceso.do?numConstancia=20-12-10632860</t>
  </si>
  <si>
    <t>JOSE JAVIER MORA BOLAÑOS</t>
  </si>
  <si>
    <t>2020-04-24</t>
  </si>
  <si>
    <t>https://www.contratos.gov.co/consultas/detalleProceso.do?numConstancia=20-12-10640891</t>
  </si>
  <si>
    <t>MARIO FERNANDO CORDOBA CORDOBA</t>
  </si>
  <si>
    <t>https://www.contratos.gov.co/consultas/detalleProceso.do?numConstancia=20-12-10633382</t>
  </si>
  <si>
    <t>https://www.contratos.gov.co/consultas/detalleProceso.do?numConstancia=20-12-10634081</t>
  </si>
  <si>
    <t>LA CONTRATISTA SE OBLIGA CON EL DEPARTAMENTO A PRESTAR SUS SERVICIOS DE APOYO A LA GESTION EN LA DIRECCION ADMINISTRATIVA DE TURISMO DE LA GOBERNACION DE NARIÑO, EN LA PROMOCION, DESARROLLO, FOMENTO Y POSICIONAMIENTO DEL TURISMO EN LA REGION DE CONFORMIDAD CON EL PROYECTO CONSOLIDACION DEL DEPARTAMENTO COMO UN DESTINO TURISTICO INTEGRAL EN PRODUCTOS DE NATURALEZA, CULTURA, SOL Y PLAYA EN NARIÑO.</t>
  </si>
  <si>
    <t>JEIMMY PAOLA SIERRA CUATIN</t>
  </si>
  <si>
    <t>2020-04-13</t>
  </si>
  <si>
    <t>https://www.contratos.gov.co/consultas/detalleProceso.do?numConstancia=20-12-10640713</t>
  </si>
  <si>
    <t>2020-05-05</t>
  </si>
  <si>
    <t xml:space="preserve">EL CONTRATISTA SE OBLIGA CON EL DEPARTAMENTO A PRESTAR SERVICIOS PROFESIONALES A LA GOBERNACION DE NARIÑO PARA APOYAR LA IMPLEMENTACION DE LA DIMENSION DE TALENTO HUMANO Y CONTROL INTERNO, ACORDE A LO ESTABLECIDO EN MODELO INTEGRADO DE PLANEACION Y GESTION SEGUN EL DECRETO 1499 DE 11 DE SEPTIEMBRE DE 2017
</t>
  </si>
  <si>
    <t>BYRON ERNESTO CASTRO PAZ</t>
  </si>
  <si>
    <t>https://www.contratos.gov.co/consultas/detalleProceso.do?numConstancia=20-12-10624700</t>
  </si>
  <si>
    <t xml:space="preserve">EL CONTRATISTA SE OBLIGA CON EL DEPARTAMENTO A PRESTAR SUS SERVICIOS PROFESIONALES COMO CONTADOR PUBLICO DENTRO DEL PROYECTO FORTALECIMIENTO DE LAS LAS VENTAJAS COMPETITIVAS DEL SECTOR TURISMO EM EL DEPARTAMENTO DE NARIÑO CON EL FIN DE APOYAR LA DIRECCION ADMINISTRATIVA DE TURISMO EN EL BUEN MANEJO DE LOS RECURSOS FINANCIEROS PRESUPUESTALES Y DE TALENTO HUMANO. </t>
  </si>
  <si>
    <t>DANIEL MAURICIO CORAL PALACIOS</t>
  </si>
  <si>
    <t>2020-10-21</t>
  </si>
  <si>
    <t>https://www.contratos.gov.co/consultas/detalleProceso.do?numConstancia=20-12-10638195</t>
  </si>
  <si>
    <t xml:space="preserve">EL CONTRATISTA SE COMPROMETE CON EL DEPARTAMENTO A PRESTAR SUS SEVICIOS PROFESIONALES COMO INGENIERA DE PROCESOS EN LA GOENRACION DE NARIÑO PARA APOYAR LA IMPLEMENTACION DE LA INFORMACION Y COMUNICACION ACORDE A LO ESTABLECIDO EN EL MODELO INTEGRADO DE PLANEACION GESTION DE ACUERDO AL DECRETO 1499 DE 11 DE SEPTIEMBRE DE 2017 </t>
  </si>
  <si>
    <t>DANIELA BETANCOURT BASANTE</t>
  </si>
  <si>
    <t>https://www.contratos.gov.co/consultas/detalleProceso.do?numConstancia=20-12-10625020</t>
  </si>
  <si>
    <t xml:space="preserve">EL CONTRATISTA SE COMPROMETE CON EL DEPARTAMENTO A PRESTAR SUS SERVICIOS PROFESIONALES COMO INGENIERO INDUTTRIAL EN LA GOBERNACION DE NARIÑO PARA APOYAR LA COORDINACION DE LA IMPLEMENTACION DEL MODELO INTEGRADO DE PLANEACION Y GESTIN ACORDE AL DECRETO 1499 DE 11 DE SEPTIEMBRE 2017 </t>
  </si>
  <si>
    <t>https://www.contratos.gov.co/consultas/detalleProceso.do?numConstancia=20-12-10625123</t>
  </si>
  <si>
    <t>JUAN CARLOS PEREZ</t>
  </si>
  <si>
    <t>NANCY GUERRERO BOLAÑOS</t>
  </si>
  <si>
    <t>EL CONTRATISTA SE OBLIGA CON EL DEPARTAMENTO A PRESTAR SUS SERVICIOS DE APOYO A LA GESTION, BRINDANDO APOYO Y ACOMPAÑAMIENTO EN LA EJECUCION DEL PROYECTO CATEDRA FUTURO EN EL MARCO DEL PROGRAMA DE INNOVACION SOCIAL EL CUAL ADELANTA LA SUBSECRETARIA DE INNOVACION DEL DEPARTAMENTO DE NARIÑO. LO ANTERIOR DE CONFORMIDAD CON LOS DOCUMENTOS DEL PROCESO QUE HACEN PARTE INTEGRAL DEL CONTRATO.</t>
  </si>
  <si>
    <t>JAIME ANDRES BERNAL RIVAS</t>
  </si>
  <si>
    <t>https://www.contratos.gov.co/consultas/detalleProceso.do?numConstancia=20-12-10616808</t>
  </si>
  <si>
    <t xml:space="preserve">PRESTAR SERVICIOS PROFESIONALES COMO ADMINISTRADOR DE EMPRESAS BRINDANDO ACOMPAÑAMIENTO EN LA GESTION TECNICA ADMINISTRATIVA Y FINANCIERA EN EL MARCO DEL PROYECTO CENTRO DE INNOVACION </t>
  </si>
  <si>
    <t>LUIS FELIPE PABON CABRERA</t>
  </si>
  <si>
    <t>https://www.contratos.gov.co/consultas/detalleProceso.do?numConstancia=20-12-10600469</t>
  </si>
  <si>
    <t xml:space="preserve">	EL CONTRATISTA SE OBLIGA CON EL DEPARTAMENTO A PRESTAR SUS SERVICIOS PROFESIONALES COMO INGENIERO DE SISTEMA PARA COADYUVAR EN LAS ACTIVIDADES RELACIONADAS EN LA ADMINISTRACION Y MANEJO DE LA PAGINA WEB Y0 PLATAFORMAS VIRTUALES Y DE SOFTWARE REQUERIDOS EN LA SECRETARIA DE AMBIENTE Y DESARROLLO SOSTENIBLE DEL DEPARTAMENTO DE NARIÑO PARA EL CUMPLIMIENTO DE SUS FUNCIONES.</t>
  </si>
  <si>
    <t>LADY BRISVANY CHAVES NARVAEZ</t>
  </si>
  <si>
    <t>2020-10-23</t>
  </si>
  <si>
    <t>https://www.contratos.gov.co/consultas/detalleProceso.do?numConstancia=20-12-10632788</t>
  </si>
  <si>
    <t xml:space="preserve">EL CONTRATISTA SE COMPROMETE CON EL DEPARTAMENTO A PRESTAR SUS SERVICIOS PROFESIONALES COMO INGENIERO INDUSTRIAL PARA APOYAR LA IMPLEMENTACION DE LA DIMENSION DEL DIRECCIONAMIENTO ESTRATEGICO Y PLANEACION ACORDE A O ESTABLECIDO EN EL MODELO INTEGRADO DE PLANEACION Y GESTION ACORDE AL DECRETO 1499 DEL 11 DE SEPTIEMBRE DE 2017 </t>
  </si>
  <si>
    <t>MILLER ADRIAN GOMEZ CORDOBA</t>
  </si>
  <si>
    <t>2020-11-02</t>
  </si>
  <si>
    <t>EL CONTRATISTA SE COMPROMETE CON EL DEPARTAMENTO A PRESTAR SUS SERVICIOS PROFESIONALES COMO ADMINISTRADOR DE EMPRESAS O AFINES EN LA GOBERNACION DE NARIÑO PARA APOYAR LA IMPLEMENTACION DE LA DIMENSION DE GESTION CON VALORES PARA RESULTADOS SEGUN LO ESTABLECIDO EN EL MODELO INTEGRADO DE PLANEACION Y GESTION ACORDE CON EL DECRETO 1499 DE 11 DE SEPTIEMBRE DE 2017.</t>
  </si>
  <si>
    <t>DIANA MARIA BENAVIDES JARAMILLO</t>
  </si>
  <si>
    <t>2020-11-01</t>
  </si>
  <si>
    <t>https://www.contratos.gov.co/consultas/detalleProceso.do?numConstancia=20-12-10640249</t>
  </si>
  <si>
    <t xml:space="preserve">EL CONTRATISTA SE COMPROMETE CON EL DEPARTAMETNO A PRESTAR SUS SERVICIOS PROFESIONALES COMO INGENIERA AGROFORESTAL PRA APOYAR EL PROCESO DE IMPLEMENTACION DEL SITEMA DE GSTION AMBIENTAL ACORDE A LO ESTABLECIDO EN EL MODELO INTEGRADO DE PLANEACION Y GESTION ACORDE AL DECRETO 1499 DEL 11 DE SEPTIEMBRE DE 2017 </t>
  </si>
  <si>
    <t>ELIANA MARCELA MIRANDA CASANOVA</t>
  </si>
  <si>
    <t>https://www.contratos.gov.co/consultas/detalleProceso.do?numConstancia=20-12-10624225</t>
  </si>
  <si>
    <t xml:space="preserve">PRESTACION DE SERVICIOS PROFESIONALES PARA BRINDAR APOYO EN EL SEGUIMIENTO EJECUCION  E IMPLEMENTACION DE LOS PROYECTOS AGRO INDUSTRIALES DEL SECTOR AGROPECUARIO QUE SE ENCUENTREN A CARGO DE LA SECRETARIA DE AGRICULTURA Y DESARROLLO RURAL DEL DEPARTAMENTO DE NARIÑO </t>
  </si>
  <si>
    <t>HENRY ANDRES CAICEDO ARBOLEDA</t>
  </si>
  <si>
    <t>2020-05-06</t>
  </si>
  <si>
    <t>https://www.contratos.gov.co/consultas/detalleProceso.do?numConstancia=20-12-10819224</t>
  </si>
  <si>
    <t>PRESTACION DE SERVICIOS PROFESIONALES COMO INGENIERO AGROINDUSTRIAL PARA EL SEGUIMIENTO, EJECUCION E IMPLEMENTACION DE PROYECTOS AGROINDUSTRIALES DEL SECTOR AGROPECUARIO, A CARGO DE LA SECRETARIA DE AGRICULTURA Y DESARROLLO RURAL.</t>
  </si>
  <si>
    <t>LEONARDO FABIO DIAZ CEPEDA</t>
  </si>
  <si>
    <t>https://www.contratos.gov.co/consultas/detalleProceso.do?numConstancia=20-12-10633413</t>
  </si>
  <si>
    <t xml:space="preserve">PRESTACION DE SERVICIOS PROFESIONALES COMO INGENIERO AGRONOMO, PARA BRINDAR APOYO EN EL SEGUIMIENTO, EJECUCION E IMPLEMENTACION DE PROYECTOS AGROINDUSTRIALES DEL SECTOR AGROPECUARIO, A CARGO DE LA SECRETARIA DE AGRICULTURA DE DESARROLLO RURAL.
</t>
  </si>
  <si>
    <t>RICARDO ALONSO CABRERA NARVAEZ</t>
  </si>
  <si>
    <t>https://www.contratos.gov.co/consultas/detalleProceso.do?numConstancia=20-12-10633457</t>
  </si>
  <si>
    <t xml:space="preserve">EL CONTRATISTA SE OBLIGA PARA CON EL DEPARTAMENTO A PRESTAR SUS SERVICIOS DE APOYO A LA GESTION EN LA EJECUCION DE LAS ACTIVIDADES PROPIAS DE LA SECRETARIA DE GOBIERNO OFICINA DE PASAPORTES. LO ANTERIOR DE CONFORMIDAD CON LOS DOCUMENTOS QUE HACEN PARTE INTEGRAL DEL CONTRATO </t>
  </si>
  <si>
    <t>https://www.contratos.gov.co/consultas/detalleProceso.do?numConstancia=20-12-10639848</t>
  </si>
  <si>
    <t xml:space="preserve">EL CONTRATISTA SE OBLIGA CON EL DEPARTAMENTO A PRESTAR SUS SERVICIOS PROFESIONALES COMO INGENIERO AGRO FORESTAL PARA BRINDAR APOYO EN EL SEGUIMIENTO A LA EJECUCION Y EVALUACION  DE PROYECTOS A CARGO DE LA SECRETARIA DE AGRICULTURA Y DESARROLLO RURAL DEL DEPARTAMENTO </t>
  </si>
  <si>
    <t>EDWIN ALEXANDER PANTOJA MUÑOZ</t>
  </si>
  <si>
    <t>https://www.contratos.gov.co/consultas/detalleProceso.do?numConstancia=20-12-10640924</t>
  </si>
  <si>
    <t xml:space="preserve">PRESTACION DE SERVICIOS PROFESIONALES COMO INGENIERO CIVIL PARA APOYAR EN LA IDENTIFICACION Y SISTEMATIZACION DE FACTORES DE RIESGO NATURALES Y EN LA REVISION, SEGUIMIENTO Y CONTROL DE PROYECTOS DE OBRAS DE MITIGACION Y REUBICACION, EN LA DIRECCION ADMINISTRATIVA DE GESTION DEL RIESGO DE DESASTRES DEL DEPARTAMENTO DE NARIÑO. LO ANTERIOR DE CONFORMIDAD CON LOS DOCUMENTOS DEL PROCESO QUE HACEN PARTE INTEGRAL DEL CONTRATO. </t>
  </si>
  <si>
    <t>2020-10-01</t>
  </si>
  <si>
    <t>https://www.contratos.gov.co/consultas/detalleProceso.do?numConstancia=20-12-10633493</t>
  </si>
  <si>
    <t xml:space="preserve">EL CONTRATISTA se compromete con EL DEPARTAMENTO a prestar los servicios de apoyo a la gestión con el fin de apoyar en la supervisión, seguimiento, monitoreo y control del Programa de Alimentación Escolar – PAE. </t>
  </si>
  <si>
    <t>VICTOR ALEXANDER GALLO DAJOME</t>
  </si>
  <si>
    <t>2020-04-27</t>
  </si>
  <si>
    <t>https://www.contratos.gov.co/consultas/detalleProceso.do?numConstancia=20-12-10635890</t>
  </si>
  <si>
    <t>CINDY ALEXANDRA BURBANO BOLAÑOS</t>
  </si>
  <si>
    <t xml:space="preserve">EL CONTRATISTA SE COMPROMETE CON EL DEPARTAMENTO A PRESTAR SUS SERVICIOS DE APOYO A LA GESTION EN LOS PROYECTOS COFINANCIADOS CON RECURSOS DEL SISTEMA GENERAL DE REGALIAS - SGR. EN EL MARCO DE LA LEY DE VICTIMAS Y QUE SON DE COMPETENCIA DE LA SUBSECRETARIA DE PAZ Y DERECHOS HUMANOS - SECRETARIA DE GOBIERNO. LO ANTERIOR DE CONFORMIDAD CON LOS DOCUMENTOS DEL PROCESO, QUE HACEN PARTE INTEGRAL DEL CONTRATO. </t>
  </si>
  <si>
    <t>OSCAR DAVID CARATAR</t>
  </si>
  <si>
    <t>https://www.contratos.gov.co/consultas/detalleProceso.do?numConstancia=20-12-10667436</t>
  </si>
  <si>
    <t xml:space="preserve">PRESTACIóN DE SERVICIOS PROFESIONALES COMO ADMINISTRADOR EN SERVICIO DE POLICíA PARA APOYAR ACCIONES DE PREVENCIóN DE HECHOS DELICTIVOS Y SEGURIDAD CIUDADANA DE LA SUBSECRETARÍA DE GESTIÓN PUBLICA - SECRETARIA DE GOBIERNO DEPARTAMENTAL, EN CUMPLIMIENTO DE SUS FUNCIONES MISIONALES" </t>
  </si>
  <si>
    <t>EDGAR DAVID MEZA ORTIZ</t>
  </si>
  <si>
    <t>https://www.contratos.gov.co/consultas/detalleProceso.do?numConstancia=20-12-10636561</t>
  </si>
  <si>
    <t>LA CONTRATISTA SE OBLIGA A PRESTAR SUS SERVICIOS PROFESIONALES COMO ABOGADA EN LA OFICINA DE CONTROL INTERNO DISCIPLINARIO DE LA GOBERNACION DE NARIÑO, CON IDONEIDAD Y CAPACIDAD SIGUIENDO LOS REQUERIMIENTOS Y DISPOSICIONES NORMATIVAS EN LA SUSTANCIACION Y TRAMITE DE LAS ACTUACIONES PROCESALES QUE SE ADELANTE EN LA OFICINA, APLICANDO LAS DISPOSICIONES CONSTITUCIONALES Y LEGALES.</t>
  </si>
  <si>
    <t>JOHANA MARCELA ZAMBRANO BENAVIDES</t>
  </si>
  <si>
    <t>https://www.contratos.gov.co/consultas/detalleProceso.do?numConstancia=20-12-10639961</t>
  </si>
  <si>
    <t>PRESTACIÓN DE SERVICIOS DE APOYO ALA GESTIÓN PARA DESARROLLAR ACTIVIDADES DE ASISTENCIA ADMINISTRATIVA QUE DEBAN SER DESARROLLADAS EN LA SUBSECRETARIA DE RENTAS DEL DEPARTAMENTO.</t>
  </si>
  <si>
    <t>EDILMA MARITZA PORTILLA BASANTE</t>
  </si>
  <si>
    <t>https://www.contratos.gov.co/consultas/detalleProceso.do?numConstancia=20-12-10641318</t>
  </si>
  <si>
    <t>2020-05-13</t>
  </si>
  <si>
    <t>2020-07-31</t>
  </si>
  <si>
    <t>2020-04-28</t>
  </si>
  <si>
    <t xml:space="preserve">	PRESTAR SUS SERVICIOS PROFESIONALES COMO APOYO A LA COORDINACION DE LOS TRAMITES Y PROCESOS DE FORMULACION, REVISION, SEGUIMIENTO, MONITOREO Y CONTROL DE PROYECTOS PRESENTADOS ANTE EL OCAD DE CONCIENCIAS, SUSCEPTIBLES DE SER FINANCIADOS CON RECURSOS DEL FONDO CTEL SISTEMA GENERAL DE REGALIAS SGR PARA EL DEPARTAMENTO DE NARIÑO.</t>
  </si>
  <si>
    <t>ANGELA LIZETH MUÑOZ ABONAGA</t>
  </si>
  <si>
    <t>https://www.contratos.gov.co/consultas/detalleProceso.do?numConstancia=20-12-10680482</t>
  </si>
  <si>
    <t xml:space="preserve">EL CONTRATISTA DEBE PRESTAR POR SUS PROPIOS MEDIOS CON PLENA AUTONOMIA TECNICA LOS SERVICIOS COMO MONITOR 1 DEPORTIVO DE LA SELECCION NARIÑO EN LA DISCIPLINA DE BALONCESTO PARA LA RAMA FEMENINA Y MASCULINA EN ASUNTOS RELACIONADOS CON FOMENTO MASIFICACION Y PREPARACION DE PORTIVA DE ALTOS LOGROS Y ASI MSIMO EN ASPECTOS DE CAPACITACION Y ORIENTACION DEPORTIVA QUE LA LIGA  DE BALONCESTO DE NARIÑO </t>
  </si>
  <si>
    <t>SERVIO TULIO CALDERON TOLEDO</t>
  </si>
  <si>
    <t>https://www.contratos.gov.co/consultas/detalleProceso.do?numConstancia=20-12-10640318</t>
  </si>
  <si>
    <t xml:space="preserve">LA CONTRSTISTA DEBE PRESTAR POR SUS PROPIOS MEDIOS CON PLENA AUTONOMIA TECNICA Y ADMINISTRATIVA LOS SERVICIOS COMO MONITOR 2 DEPORTIVO DE LA SELECCION NARIÑO EN LA DISCIPLINA DE VOLEIBOL PARA LA RAMA FEMENINA EN ASUNTOS RELACIONADOS CON EL FOMENTO MASIFICACION Y PREPARACION DEPORTIVA DE ALTOS LOGROS Y ASI MISMO EN ASPECTOS DE CAPACITACION Y ORIENTACION DEPORTIVA DE LA LIGA  DE VOLEIBOL DE NARIÑO </t>
  </si>
  <si>
    <t>ANDREA ISABEL MANTILLA GALVIS</t>
  </si>
  <si>
    <t>2020-05-04</t>
  </si>
  <si>
    <t>https://www.contratos.gov.co/consultas/detalleProceso.do?numConstancia=20-12-10640338</t>
  </si>
  <si>
    <t xml:space="preserve">EL CONTRATISTA DEBE PRESTAR POR SUS PROPIOS MEDIOS CON PLENA AUTONOMÍA TÉCNICA Y ADMINISTRATIVA LOS SERVICIOS COMO TÉCNICO DEPORTIVO DE LA SELECCIÓN NARIÑO EN LA DISCIPLINA DE GIMNASIA PARA LA RAMA MASCULINA EN EL DEPARTAMENTO DE NARIÑO EN ASUNTOS RELACIONADOS CON EL FOMENTO MASIFICACIÓN Y PREPARACIÓN DEPORTIVA DE ALTOS LOGROS Y ASÍ MISMO EN ASPECTOS DE CAPACITACIÓN Y ORIENTACIÓN DEPORTIVA DE LA LIGA DE GIMNASIA DE NARIÑO. </t>
  </si>
  <si>
    <t>BLADIMIR ANDRES MUÑOZ VALLEJO</t>
  </si>
  <si>
    <t>2020-04-17</t>
  </si>
  <si>
    <t>https://www.contratos.gov.co/consultas/detalleProceso.do?numConstancia=20-12-10640414</t>
  </si>
  <si>
    <t xml:space="preserve">EL CONTRATISTA DEBE PRESTAR POR SUS PROPIOS MEDIOS CON PLENA AUTONOMÍA TÉCNICA Y ADMINISTRATIVA LOS SERVICIOS COMO TÉCNICO DEPORTIVO DE LA SELECCIÓN NARIÑO EN LA DISCIPLINA DE AJEDREZ PARA LA RAMA MASCULINA Y FEMENINA EN EL DEPARTAMENTO DE NARIÑO EN ASUNTOS RELACIONADOS CON EL FOMENTO MASIFICACIÓN Y PREPARACIÓN DEPORTIVA DE ALTOS LOGROS Y ASÍ MISMO EN ASPECTOS DE CAPACITACIÓN Y ORIENTACIÓN DEPORTIVA DE LA LIGA DE AJEDREZ DE NARIÑO. </t>
  </si>
  <si>
    <t>ANDRES CAMILO RODRIGUEZ LOPEZ</t>
  </si>
  <si>
    <t>https://www.contratos.gov.co/consultas/detalleProceso.do?numConstancia=20-12-10640366</t>
  </si>
  <si>
    <t xml:space="preserve">EL CONTRATISTA DEBE PRESTAR POR SUS PROPIOS MEDIOS CON PLENA AUTONOMIA TECNICA LOS SERVICIOS COMO MONITOR 2 DEPORTIVO DE LA SELECCION NARIÑO EN LA DISCIPLINA DE CICLOMONTAÑISMO MTB PARA LA RAMA MASCULINA Y FEMENINA EN ASUNTOS RELACIONADOS CON FOMENTO MASIFICACION Y PREPARACION DEPORTIVA DE ALTOS LOGROS Y ASI MISMO EN ASPECTOS DE CAPACITACION Y ORIENTACION DEPORTIVA DE LA LIGA DE CICLISMO DE NARIÑO. </t>
  </si>
  <si>
    <t>CARLOS MANUEL RODRIGUEZ ARTEAGA</t>
  </si>
  <si>
    <t>https://www.contratos.gov.co/consultas/detalleProceso.do?numConstancia=20-12-10640422</t>
  </si>
  <si>
    <t>EL CONTRATISTA DEBE PRESTAR POR SUS PROPIOS MEDIOS, CON PLENA AUTONOMIA TECNICA Y ADMINISTRATIVA, LOS SERVICIOS COMO MONITOR 1 DEPORTIVO DE LA SELECCION NARIÑO EN LA DISCIPLINA DE FUTBOL DE SALON PARA LA RAMA FEMENINA Y MASCULINA DEL DEPARTAMENTO DE NARIÑO EN ASUNTOS RELACIONADOS CON FOMENTO MASIFICACION Y PREPARACION DEPORTIVA DE ALTOS LOGROS Y ASI MISMO EN ASPECTOS DE CAPACITACION Y ORIENTACION DEPORTIVA DE LA LIGA DE FUTBOL DE SALON DE NARIÑO.</t>
  </si>
  <si>
    <t>OSCAR JAVIER GAMBOA PEREZ</t>
  </si>
  <si>
    <t>https://www.contratos.gov.co/consultas/detalleProceso.do?numConstancia=20-12-10640452</t>
  </si>
  <si>
    <t xml:space="preserve">EL CONTRATISTA DEBE PRESTAR POR SUS PROPIOS MEDIOS CON PLENA AUTONOMIA TECNICA LOS SERVICIOS COMO MONITOR 2  DE LA SELECCION NARIÑO EN LA DISCIPLINA DE VOLEIBOL PARA LA RAMA MASCULINA EN EL DEPARTAMENTO DE NARIÑO EN ASUNTOS RELACIONADOS CON FOMENTO MASIFICACION Y PREPARACION DEPORTIVA DE ALTOS LOGROS ASI MISMO EN ASPECTOS DE CAPACITACION Y ORIENTACION DEPORTIVA DE LA LIGA DE VOLEIBOL DE NARIÑO </t>
  </si>
  <si>
    <t>CARLOS MAURICIO RUIZ PAZ</t>
  </si>
  <si>
    <t>https://www.contratos.gov.co/consultas/detalleProceso.do?numConstancia=20-12-10640353</t>
  </si>
  <si>
    <t xml:space="preserve">EL CONTRATISTA DEBE PRESTAR POR SUS PROPIOS MEDIOS, CON PLENA AUTONOMíA TÉCNICA, LOS SERVICIOS COMO MONITOR (2) DEPORTIVO DE LA SELECCIÓN NARIÑO EN LA DISCIPLINA DE FUTBOL DE SALON PARA LA RAMA MASCULINA Y FEMENINA EN EL DEPARTAMENTO DE NARIÑO, EN ASUNTOS RELACIONADOS CON FOMENTO, MASIFICACIÓN Y PREPARACIÓN DEPORTIVA DE ALTOS LOGROS Y ASÍ MISMO EN ASPECTOS DE CAPACITACIÓN Y ORIENTACIÓN DEPORTIVA DE LA LIGA DE FUTBOL DE SALON DE NARIÑO. </t>
  </si>
  <si>
    <t>VICTOR HUGO ROSERO MIDEROS</t>
  </si>
  <si>
    <t>https://www.contratos.gov.co/consultas/detalleProceso.do?numConstancia=20-12-10640404</t>
  </si>
  <si>
    <t>L CONTRATISTA DEBE PRESTAR POR SUS PROPIOS MEDIOS, CON PLENA AUTONOMIA TECNICA Y ADMINISTRATIVA, LOS SERVICIOS COMO MONITOR 2 DE LA SELECCION NARIÑO EN LA DISCIPLINA DE BOXEO PARA LA RAMA MASCULINA Y FEMENINA DEL DEPARTAMENTO DE NARIÑO EN ASUNTOS RELACIONADOS CON FOMENTO, MASIFICACION Y PREPARACION DEPORTIVA DE ALTOS LOGROS Y ASI MISMO EN ASPECTOS DE CAPACITACION Y ORIENTACION DEPORTIVA DE LA LIGA DE BOXEO DE NARIÑO.</t>
  </si>
  <si>
    <t>JULIO GUILLERMO ALVAREZ SOLARTE</t>
  </si>
  <si>
    <t>https://www.contratos.gov.co/consultas/detalleProceso.do?numConstancia=20-12-10640394</t>
  </si>
  <si>
    <t>El CONTRATISTA debe prestar por sus propios medios, con plena autonomía técnica y administrativa, los Servicios como TECNOLOGO DEPORTIVO de la selección Nariño en la disciplina de FUTBOL DE SALON para la rama femenina y masculina del Departamento de Nariño en asuntos relacionados con fomento masificación y preparación
deportiva de altos logros y así mismo en aspectos de capacitación y orientación deportiva de la liga de futbol de salón de Nariño.</t>
  </si>
  <si>
    <t>HENRY JAVIER ROSERO NARVAEZ</t>
  </si>
  <si>
    <t>https://www.contratos.gov.co/consultas/detalleProceso.do?numConstancia=20-12-10640377</t>
  </si>
  <si>
    <t xml:space="preserve">EL CONTRATISTA DE BE PRESTAR POR SUS PROPIOS MEDIOS CON PLENA AUTONOMIA TECNIA Y ADMINSITRATIVA LOS SERVICIOS COMO MONITOR 2 DEPORTIVO DE LA SELECCION NARIÑO EN LA DISICIPLINA DE CICLISMO DE RUTA PARA LA RAMA MASCULINA Y FEMENINA EN ASUNTOS RELACIONADOS CON EL FOMENTO MASIFICACIÓN Y PREPARACION DEPORTIVA EN ALTOS LOGROS Y ASI MISMO EN ASPECTOS DE CAPACITACION Y ORIENTACION DEPORTIVA DE LA LIGA DE CICLISMO </t>
  </si>
  <si>
    <t>JAIRO ANTONIO ORBES REVELO</t>
  </si>
  <si>
    <t>https://www.contratos.gov.co/consultas/detalleProceso.do?numConstancia=20-12-10640705</t>
  </si>
  <si>
    <t xml:space="preserve">EL CONTRATISTA DEBE PRESTAR POR SUS PROPIOS MEDIOS CON PLENA AUTONOMÍA TÉCNICA Y ADMINISTRATIVA LOS SERVICIOS COMO ENTRENADOR  DEPORTIVO DE LA SELECCIÓN NARIÑO EN LA DISCIPLINA DE BOXEO PARA LA RAMA MASCULINA Y FEMENINA EN EL DEPARTAMENTO DE NARIÑO EN ASUNTOS RELACIONADOS CON EL FOMENTO MASIFICACIÓN Y PREPARACIÓN DEPORTIVA DE ALTOS LOGROS Y ASÍ MISMO EN ASPECTOS DE CAPACITACIÓN Y ORIENTACIÓN DEPORTIVA DEPORTIVA CORRESPONDIENTE A LA LIGA DE BOXEO DE NARIÑO </t>
  </si>
  <si>
    <t>DIEGO IBAN VEIRA LOPEZ</t>
  </si>
  <si>
    <t>https://www.contratos.gov.co/consultas/detalleProceso.do?numConstancia=20-12-10640977</t>
  </si>
  <si>
    <t>EL CONTRATISTA DEBE PRESTAR POR SUS PROPIOS MEDIOS, CON PLENA AUTONOMIA TECNICA Y ADMINISTRATIVA, LOS SERVICIOS COMO MONITOR 1 DEPORTIVO DE LA SELECCION NARIÑO EN LA DISCIPLINA DE TEJO PARA LA RAMA MASCULINA Y FEMENINA, EN ASUNTOS RELACIONADOS CON EL FOMENTO, MASIFICACION Y PREPARACION DEPORTIVA DE ALTOS LOGROS Y ASI MISMO ASPECTOS DE CAPACITACION Y ORIENTACION DEPORTIVA PARA LA LIGA DE TEJO DE NARIÑO.</t>
  </si>
  <si>
    <t>RAUL JAVIER PINZON ORTEGA</t>
  </si>
  <si>
    <t>https://www.contratos.gov.co/consultas/detalleProceso.do?numConstancia=20-12-10840211</t>
  </si>
  <si>
    <t xml:space="preserve">EL CONTRATISTA DEBE PRESTAR POR SUS PROPIOS MEDIOS CON PLENA AUTONOMIA TECNICA LOS SERVICIOS COMO MONITOR 1 DEPORTIVO DE LA SELECCION NARIÑO EN LA DISCIPLINA DE ATLETISMO PARA RAMA FEMENINA Y MASCULINA DEL DEPARTAMENTO  DE NARIÑO EN ASUNTOS RELACIONADOS CON FOMENTO MASIFICICACION Y PREPARACION DEPORTIVA DE ALTOS  LOGROS Y ASI MISMO EN ASPECTOS DE CAPACITACION Y ORIENTACION DEPORTIVA DE LA LIGA DE ATLETISMO DE NARIÑO CORRESPONDIENTE A LA SECRETARIA DE RECREACION Y DEPORTE </t>
  </si>
  <si>
    <t>HEIMER HERNAN CARDENAS MAYA</t>
  </si>
  <si>
    <t>https://www.contratos.gov.co/consultas/detalleProceso.do?numConstancia=20-12-10640678</t>
  </si>
  <si>
    <t>EL CONTRATISTA DEBE PRESTAR POR SUS PROPIOS MEDIOS CON PLENA AUTONOMIA TECNICA Y ADMINISTRATIVA LOS SERVICIOS COMO MONITOR 2 DEPORTIVO DE LA SELECCION NARIÑO EN LA DISCIPLINA DE NATACION PARA LA RAMA MASCULINA Y FEMENINA EN ASUNTOS RELACIONADOS CON EL FOMENTO, MASIFICACION Y PROPAGACION DEPORTIVA DE ALTOS LOGROS Y ASI MISMO EN ASPECTOS DE CAPACITACION Y ORIENTACON DEPORTIVA DE LA LIGA DE NATACION DE NARIÑO.</t>
  </si>
  <si>
    <t>GUILLERMO ANTONIO SILVA FUQUEN</t>
  </si>
  <si>
    <t>https://www.contratos.gov.co/consultas/detalleProceso.do?numConstancia=20-12-10640632</t>
  </si>
  <si>
    <t xml:space="preserve">LA CONTRATISTA DEBE PRESTAR POR SUS PROPIOS MEDIOS CON PLENA AUTONOMIA TECNICA LOS SERVICIOS COMO MONITOR 1 DEPORTIVO DE LA SELECCION NARIÑO EN LA DISCIPLINA DE HAPKIDO PARA LA RAMA MASCULINA Y FEMENINA DEL DEPARTAMENTO DE NARIÑO  EN ASUNTOS RELACIONADOS CON FOMENTO MASIFICACION Y PREPARACION DEPORTIVA DE ALTOS LOGROS Y ASI MISMO EN ASPECTOS DE CAPACITACION Y ORIENTACION DEPORTIVA DE LA LIGA DE HAPKIDO DE NARIÑO </t>
  </si>
  <si>
    <t>ROSA ELENA MENESES CASTRO</t>
  </si>
  <si>
    <t>https://www.contratos.gov.co/consultas/detalleProceso.do?numConstancia=20-12-10640738</t>
  </si>
  <si>
    <t xml:space="preserve">LA CONTRATISTA DEBE PRESTAR POR SUS PROPIOS MEDIOS CON PLENA AUTONOMIA TECNICA LOS SERVICIOS COMO MONITOR  EN LA DISCIPLINA DE BOXEO PARA LA RAMA MASCULINA Y FEMENINA DEL DEPARTAMENTO DE NARIÑO  EN ASUNTOS RELACIONADOS CON FOMENTO MASIFICACION Y PREPARACION DEPORTIVA DE ALTOS LOGROS Y ASI MISMO EN ASPECTOS DE CAPACITACION Y ORIENTACION DEPORTIVA DE LA LIGA DE BOXEO DE NARIÑO </t>
  </si>
  <si>
    <t>RICARDO ANDRES LEGARDA BURBANO</t>
  </si>
  <si>
    <t>2020-11-03</t>
  </si>
  <si>
    <t>https://www.contratos.gov.co/consultas/detalleProceso.do?numConstancia=20-12-10680530</t>
  </si>
  <si>
    <t>EL CONTRATISTA DEBE PRESTAR POR SUS PROPIOS MEDIOS CON PLENA AUTONOMIA TECNICA Y ADMINISTRATIVA, LOS SERVICIOS COMO MONITOR DEPORTIVO EN LA SELECCION NARIÑO EN LA DISCIPLINA DE TENIS DE CAMPO, PARA LA RAMA MASCULINA Y FEMENINA EN EL DEPARTAMENTO DE NARIÑO, EN ASUNTOS RELACIONADOS CON FOMENTO, MASIFICACION Y PREPARACION DEPORTIVA DE ALTOS LOGROS Y ASI MISMO EN ASPECTOS DE CAPACITACION Y ORIENTACION DEPORTIVA QUE LA LIGA DE TENIS DE CAMPO DE NARIÑO.</t>
  </si>
  <si>
    <t>JUAN CARLOS RODRIGUEZ DIAZ</t>
  </si>
  <si>
    <t>https://www.contratos.gov.co/consultas/detalleProceso.do?numConstancia=20-12-10640196</t>
  </si>
  <si>
    <t>LA CONTRATISTA DEBE PRESTAR POR SUS PROPIOS MEDIOS CON PLENA AUTONOMIA TECNICA LOS SERVICIOS COMO ENTRENADORA EN LA DISCIPLINA DE TAEKWONDO PARA LA RAMA MASCULINA Y FEMENINA EN EL DEPARTAMENTO DE NARIÑO, EN ASUNTOS RELACIONADOS CON FOMENTO, MASIFICACION Y PREPARACION DEPORTIVA DE ALTOS LOGROS Y ASI MISMO EN ASPECTOS DE CAPACITACION Y ORIENTACION DEPORTIVA PARA EL DESARROLLO DE LA DISCIPLINA DE TAEKWONDO EN NARIÑO.</t>
  </si>
  <si>
    <t>MARCELA DEL PILAR PARRA BARRERA</t>
  </si>
  <si>
    <t>https://www.contratos.gov.co/consultas/detalleProceso.do?numConstancia=20-12-10640094</t>
  </si>
  <si>
    <t xml:space="preserve">LA CONTRATISTA DEBE PRESTAR POR SUS PROPIOS MEDIOS CON PLENA AUTONOMIA TECNICA LOS SERVICIOS COMO MONITOR TENIS DE MESA DISCAPACIDAD DEPORTIVO DE LA SELECCION NARIÑO EN LA RAMA MASCULINA Y FEMENINA DEL DEPARTAMENTO DE NARIÑO  EN ASUNTOS RELACIONADOS CON FOMENTO MASIFICACION Y PREPARACION DEPORTIVA DE ALTOS LOGROS Y ASI MISMO EN ASPECTOS DE CAPACITACION Y ORIENTACION DEPORTIVA DE LA LIGA DE TENIS DE MESA DE NARIÑO </t>
  </si>
  <si>
    <t>LUIS CARLOS ORTIZ RODRIGUEZ</t>
  </si>
  <si>
    <t>https://www.contratos.gov.co/consultas/detalleProceso.do?numConstancia=20-12-10640111</t>
  </si>
  <si>
    <t xml:space="preserve">LA CONTRATISTA DEBE PRESTAR POR SUS PROPIOS MEDIOS CON PLENA AUTONOMIA TECNICA LOS SERVICIOS COMO MONITOR EPORTIVO  EN LA DISCIPLINA DE BOLOS PARA LA RAMA MASCULINA Y FEMENINA DEL DEPARTAMENTO DE NARIÑO  EN ASUNTOS RELACIONADOS CON FOMENTO MASIFICACION Y PREPARACION DEPORTIVA DE ALTOS LOGROS Y ASI MISMO EN ASPECTOS DE CAPACITACION Y ORIENTACION DEPORTIVA DE LA LIGA DE BOLOS DE NARIÑO </t>
  </si>
  <si>
    <t>JAIME FABIAN ZARAMA DE LA ESPRIELLA</t>
  </si>
  <si>
    <t xml:space="preserve">LA CONTRATISTA DEBE PRESTAR POR SUS PROPIOS MEDIOS CON PLENA AUTONOMIA TECNICA LOS SERVICIOS COMO MONITOR EN LA DISCIPLINA DE NATACION PARA LA RAMA MASCULINA Y FEMENINA DEL DEPARTAMENTO DE NARIÑO  EN ASUNTOS RELACIONADOS CON FOMENTO MASIFICACION Y PREPARACION DEPORTIVA DE ALTOS LOGROS Y ASI MISMO EN ASPECTOS DE CAPACITACION Y ORIENTACION DEPORTIVA DE LA LIGA DE NATACION DE NARIÑO </t>
  </si>
  <si>
    <t>JAIME ANDRES ENRIQUEZ BOLAÑOS</t>
  </si>
  <si>
    <t>https://www.contratos.gov.co/consultas/detalleProceso.do?numConstancia=20-12-10640134</t>
  </si>
  <si>
    <t>PRESTACION DE SERVICIOS PROFESIONALES PARA BRINDAR APOYO EN EL SEGUIMIENTO, EJECUCION E IMPLEMENTACION DE LOS PROYECTOS PECUARIOS QUE SE ENCUENTREN A CARGO DE LA SECRETARIA DE AGRICULTURA Y DESARROLLO RURAL DEL DEPARTAMENTO DE NARIÑO, ASI COMO EN LA FORMULACION Y EJECUCION DEL PLAN DE EXTENSION AGROPECUARIA DEPARTAMENTAL.</t>
  </si>
  <si>
    <t>LUZ ESTHER UNIGARRO CARDENAS</t>
  </si>
  <si>
    <t>https://www.contratos.gov.co/consultas/detalleProceso.do?numConstancia=20-12-10800622</t>
  </si>
  <si>
    <t xml:space="preserve">PRESTACION DE SERVICIOS PROFESIONALES COMO ZOOTECNISTA PARA BRINDAR APOYO E EL SEGUIMIENTO EJECUCION E IMPLEMENTACION  DE LOS PROYECTOS PECUARIOS QUE SE ENCUENTREN A CARGO DE  LA SECRETARIA DE AGRICULTURA Y DESARROLLO RURAL DEL DEPARTAMENTO DE NARIÑO </t>
  </si>
  <si>
    <t>DAYANY MAGALY CRIOLLO URREGO</t>
  </si>
  <si>
    <t>https://www.contratos.gov.co/consultas/detalleProceso.do?numConstancia=20-12-10640897</t>
  </si>
  <si>
    <t>A CONTRATISTA SE COMPROMETE CON LA GOBERNACION DE NARIÑO A PRESTAR SUS SERVICIOS DE APOYO A LA GESTION COMO APOYO JURIDICO POR SUS PROPIOS MEDIOS CON PLENA AUTONOMIA TECNICA Y ADMINSTRATIVA PARA EL DESPACHO DEL DEPARTAMENTO DE NARIÑO PARA APOYAR LA CONSTRUCCION Y EJECUCION DEL LA ESTRATEGIA DE COOPERACION INTERNACIONAL EN EL DEPARTAMENTO DE NARIÑO EN PROCESOS RELACIONADOS CON CONTRATACION</t>
  </si>
  <si>
    <t>LUISA FERNANDA QUIROZ LOPEZ</t>
  </si>
  <si>
    <t>https://www.contratos.gov.co/consultas/detalleProceso.do?numConstancia=20-12-10822065</t>
  </si>
  <si>
    <t xml:space="preserve">LA CONTRATISTA SE COMPROMETE CON LA GOBERNACION DE NARIÑO A PRESTAR SUS SERVICIOS DE APOYO PROFESIONALES COMO ADMINISTRADOR DE EMPRESAS POR SUS PROPIOS MEDIOS CON PLENA AUTONOMIA TECNICA Y ADMINSTRATIVA PARA EL DESPACHO  DEL DEPARTAMENTO DE NARIÑO   PARA APOYAR LA CONSTRUCCION Y EJECUCION DEL LA ESTRATEGIA DE COOPERACION INTERNACIONAL EN EL DEPARTAMENTO DE NARIÑO EN PROCESOS RELACIONADOS CON CONTRATACION </t>
  </si>
  <si>
    <t>CLAUDIA VIVIANA LASSO FLOREZ</t>
  </si>
  <si>
    <t>2020-04-01</t>
  </si>
  <si>
    <t>https://www.contratos.gov.co/consultas/detalleProceso.do?numConstancia=20-12-10647401</t>
  </si>
  <si>
    <t>EL CONTRATISTA SE COMPROMETE CON LA GOBERNACION DE NARIÑO, A PRESTAR SUS SERVICIOS COMO TECNOLOGO EN SISTEMAS, PARA APOYAR EL COMPONENTE TECNICO ADMINISTRATIVO, DESARROLLADO EN LA OFICINA DE COOPERACION INTERNACIONAL. LO ANTERIOR DE CONFORMIDAD CON LAS ACTIVIDADES PRESENTADAS EN EL PROYECTO DENOMINADO FORTALECIMIENTO DE LA ESTRATEGIA DE COOPERACION INTERNACIONAL EN EL DEPARTAMENTO DE NARIÑO.</t>
  </si>
  <si>
    <t>ALEX FERNANDO REALPE MUÑOZ</t>
  </si>
  <si>
    <t>https://www.contratos.gov.co/consultas/detalleProceso.do?numConstancia=20-12-10800480</t>
  </si>
  <si>
    <t>2020-07-03</t>
  </si>
  <si>
    <t>LA CONTRATISTA SE COMPROMETE CON EL DEPARTAMENTO DE NARIÑO A PRESTAR SUS SERVICIOS PROFESIONALES COMO PSICOLOGA POR SUS PROPIOS MEDIOS CON PLENA AUTONOMIA TECNICA Y ADMINSTRATIVA PARA EL DESPACHO DEL DEPARTAMENTO DE NARIÑO PARA APOYAR LA CONSTRUCCION Y EJECUCION DEL LA ESTRATEGIA DE COOPERACION INTERNACIONAL EN EL DEPARTAMENTO DE NARIÑO EN PROCESOS EL AMBITO DE PLANEACION SEGUIMIENTO Y GSETION DE PROYECTOS SOCIALES.</t>
  </si>
  <si>
    <t>AMANDA ZORAIDA ANDRADE</t>
  </si>
  <si>
    <t>https://www.contratos.gov.co/consultas/detalleProceso.do?numConstancia=20-12-10633521</t>
  </si>
  <si>
    <t xml:space="preserve">PRESTACION  DE SERVICIOS DE APOYO A LA GETION PARA APOYAR LA REALIZACION DE LOS DIFERENTES PROCESOS Y TRAMITES EN LA SEDE OPERATIVA DEL MUNICIPIO DE TANGUA DE LA SUBSECRETARIA DE TRANSITO Y TRANSPORTE DEL DEPARTAMENTO DE NARIÑO </t>
  </si>
  <si>
    <t>YUDY RUTNERY PUCHANA PUCHANA</t>
  </si>
  <si>
    <t>https://www.contratos.gov.co/consultas/detalleProceso.do?numConstancia=20-12-10640801</t>
  </si>
  <si>
    <t xml:space="preserve">PRESTACION DE SERVICIOS DE APOYO A LA GESTIÓN COMO OPERARIO DE MAQUINARIA Y DE LOS VEHICULOS DE LA SECRETARIA DE INFRAESTRUCTURA Y MINAS DEL DEPARTAMENTO DE NARIÑO </t>
  </si>
  <si>
    <t>YEISON DANILO ORTIZ HOYOS</t>
  </si>
  <si>
    <t>2020-09-04</t>
  </si>
  <si>
    <t>https://www.contratos.gov.co/consultas/detalleProceso.do?numConstancia=20-12-10800868</t>
  </si>
  <si>
    <t>LEIMERSON ALONSO PORTILLO BERDUGO</t>
  </si>
  <si>
    <t>https://www.contratos.gov.co/consultas/detalleProceso.do?numConstancia=20-12-10800794</t>
  </si>
  <si>
    <t>YEFERSON HERIBERTO GRIJALBA ROSERO</t>
  </si>
  <si>
    <t>https://www.contratos.gov.co/consultas/detalleProceso.do?numConstancia=20-12-10800735</t>
  </si>
  <si>
    <t xml:space="preserve">EL CONTRATISTA SE COMPROMETE PARA CON EL DEPARTAMENTO A PRESTAR SUS SERVICIOS DE APOYO A LA GESTION EN LOS ASUNTOS DE RESTITUCION DE TIERRAS Y ACCIONES EN TORNO A LA CONSTRUCCION DE UNA PAZ ESTABLE Y DURADERA DE SOMPETENCIA DE LAS SUBSECRETARIA DE PAZ Y DERECHOS HUMANOS DEL DEPARTAMENTO DE NARIÑO </t>
  </si>
  <si>
    <t>NATHALY DANIELA VILLOTA BENAVIDES</t>
  </si>
  <si>
    <t>https://www.contratos.gov.co/consultas/detalleProceso.do?numConstancia=20-12-10640201</t>
  </si>
  <si>
    <t>2020-05-20</t>
  </si>
  <si>
    <t xml:space="preserve">PRESTACION DE SERVICIOS DE APOYO A LA GESTION PARA LA SUSTANCIACION DE PROCESOS DE COBRO COACTIVO Y DEAMAS ASPECTOS JURIDICOS DERIVADOS DE LAS SANCIONES IMPUESTAS POR INFRACCIONA ALS NORMAS DE TRANSITO PROPIAS DE LA SUBSECRETARIA DE TRANSITO Y TRANSPORTE DEPARTAMENTAL DE NARIÑO </t>
  </si>
  <si>
    <t>NANCY ESTHEFANIA ARELLANO NARVAEZ</t>
  </si>
  <si>
    <t>https://www.contratos.gov.co/consultas/detalleProceso.do?numConstancia=20-12-10640865</t>
  </si>
  <si>
    <t>PRESTACION DE SERVICIOS DE APOYO A LA GESTION PARA REALIZAR IMPULSOS Y MERCADEO DE AGUARDIENTE NARIÑO EN TODAS SUS REFERENCIAS Y PRESENTACIONES EN LOS ESTABLECIMIENTOS DE COMERCIO QUE EXPENDEN LICOR Y EN LOS SUPERMERCADOS TIPO A, B Y C Y EN ESTABLECIMIENTOS DE COMERCIO DE FORMATO TRADICIONAL QUE EXPENDEN LICOR TALES COMO MAYORISTAS, LICORERAS Y TIENDAS DE BARRIO DE LOS DIFERENTES MUNICIPIOS DEL DEPARTAMENTO DE NARIÑO. LO ANTERIOR DE CONFORMIDAD CON LOS DOCUMENTOS DEL PROCESO QUE HACEN PARTE INTEGRAL DEL CONTRATO.</t>
  </si>
  <si>
    <t>LUISA FERNANDA QUINTERO SANTANDER</t>
  </si>
  <si>
    <t>https://www.contratos.gov.co/consultas/detalleProceso.do?numConstancia=20-12-10640217</t>
  </si>
  <si>
    <t>EDWIN ANDRES TAIBUD YELA</t>
  </si>
  <si>
    <t>https://www.contratos.gov.co/consultas/detalleProceso.do?numConstancia=20-12-10629381</t>
  </si>
  <si>
    <t>JAIRO ANTONIO URBANO VALLEJO</t>
  </si>
  <si>
    <t>https://www.contratos.gov.co/consultas/detalleProceso.do?numConstancia=20-12-10640823</t>
  </si>
  <si>
    <t>RESTACION DE SERVICIOS PARA EL APOYO LOGISTICO PERMANENTE EN LOS OPERATIVOS DE CONTROL, CAPACITACIONES, CAMPAÑAS COMUNICATIVAS, ANALISIS DE INFORMACION QUE SE REALIZAN EN EL DEPARTAMENTO DE NARIÑO POR PARTE DE LA SUBSECRETARIA DE RENTAS PARA CONTRARRESTAR EL CONTRABANDO, LA ADULTERACION DE PRODUCTOS SUJETOS AL IMPUESTO AL CONSUMO Y EL INGRESO ILEGAL DE COMBUSTIBLES.LO ANTERIOR DE CONFORMIDAD CON LOS DOCUMENTOS DEL PROCESO, QUE HACEN PARTE INTEGRAL DEL CONTRATO.</t>
  </si>
  <si>
    <t>https://www.contratos.gov.co/consultas/detalleProceso.do?numConstancia=20-12-10629647</t>
  </si>
  <si>
    <t>PRESTACION DE SERVICIOS PARA EL APOYO LOGISTICO PERMANENTE EN LOS OPERATIVOS DE CONTROL, CAPACITACIONES, CAMPAÑAS COMUNICATIVAS, ANALISIS DE INFORMACION QUE SE REALIZAN EN EL DEPARTAMENTO DE NARIÑO POR PARTE DE LA SUBSECRETARIA DE RENTAS PARA CONTRARRESTAR EL CONTRABANDO, LA ADULTERACION DE PRODUCTOS SUJETOS AL IMPUESTO AL CONSUMO Y EL INGRESO ILEGAL DE COMBUSTIBLE. LO ANTERIOR DE CONFORMIDAD CON LOS DOCUMENTOS DEL PROCESO QUE HACEN PARTE INTEGRAL DEL CONTRATO.</t>
  </si>
  <si>
    <t>JAIRO ANTONIO BENAVIDES ZAMBRANO</t>
  </si>
  <si>
    <t>https://www.contratos.gov.co/consultas/detalleProceso.do?numConstancia=20-12-10640952</t>
  </si>
  <si>
    <t xml:space="preserve">EL CONTRATISTA SE OBLIGA A PRESTAR SUS SERVICIOS COMO CONDUCTOR DEL VEHICULO QUE LE ASIGNE EL DEPARTAMENTO PARA APOYAR LA ATENCION LOGISTICA DE EVENTOS EN LOS OPERATIVOS DE CONTROL  QUE REALIZAN EN EL DEPARTAMENTO DE NARIÑO POR PARTE DE LA SUSBSECRETARIA DE RENTAS PARA CONTRARRESTAR EL CONTRABANDO LA ADULTERACION  DE PRODUCTOS SUJETOS AL CONSUMO Y EL INGRESO ILEGAL DE COMBUSTIBLES </t>
  </si>
  <si>
    <t>CRISTHIAN NORALDO HERNANDEZ NUPAN</t>
  </si>
  <si>
    <t>https://www.contratos.gov.co/consultas/detalleProceso.do?numConstancia=20-12-10680201</t>
  </si>
  <si>
    <t>EL CONTRATISTA SE OBLIGA CON EL DEPARTAMENTO A PRESTAR SUS SERVICIOS DE APOYO A LA GESTIÓN EN LA SUBSECRETARIA DE RENTAS EN EL PROCESO DE DETERMINACIÓN Y LIQUIDACIÓN DE LOS IMPUESTOS DE REGISTRO Y VEHICULOS AUTOMOTORES EN EL DEPARTAMENTO DE NARIÑO Y LAS DEMAS ACTIVIDADES QUE SE DERIVEN DE ESTE</t>
  </si>
  <si>
    <t>DIANA ELISA CORDOBA</t>
  </si>
  <si>
    <t>https://www.contratos.gov.co/consultas/detalleProceso.do?numConstancia=20-12-10640887</t>
  </si>
  <si>
    <t>EL CONTRATISTA SE OBLIGA CON EL DEPARTAMENTO A PRESTAR SUS SERVICIOS DE APOYO A LA GESTION EN LA SUBSECRETARIA DE RENTAS, EN E PROCESO DE DETERMINACION Y LIQUIDACION DE LOS IMPUESTOS DE REGISTRO Y VEHICULOS AUTOMOTORES EN EL DEPARTAMENTO DE NARIÑO, ORGANIZACION ARCHIVISTA Y DEMAS ACTIVIDADES QUE SE DERIVEN DE ESTE.</t>
  </si>
  <si>
    <t>FLOR ANGELA PANTOJA AGREDA</t>
  </si>
  <si>
    <t>2020-05-14</t>
  </si>
  <si>
    <t>https://www.contratos.gov.co/consultas/detalleProceso.do?numConstancia=20-12-10640831</t>
  </si>
  <si>
    <t xml:space="preserve">	EL CONTRATISTA SE OBLIGA CON EL DEPARTAMENTO A PRESTAR SUS SERVICIOS DE APOYO A LA GESTION EN LA SUBSECRETARIA DE RENTAS, EN EL PROCESO DE DETERMINACION LIQUIDACION DE LOS IMPUESTOS DE REGISTRO Y VEHICULOS AUTOMOTORES EN EL DEPARTAMENTO DE NARIÑO Y LAS DEMAS ACTIVIDADES QUE SE DERIVEN DE ESTE. LO ANTERIOR DE CONFORMIDAD CON LOS DOCUMENTOS DEL PROCESO, QUE HACEN PARTE INTEGRAL DEL CONTRATO.</t>
  </si>
  <si>
    <t>MAYRA FERNANDA CHILANGUAY CHAMORRO</t>
  </si>
  <si>
    <t>https://www.contratos.gov.co/consultas/detalleProceso.do?numConstancia=20-12-10640880</t>
  </si>
  <si>
    <t>EL CONTRATISTA SE OBLIGA CON EL DEPARTAMENTO A PRESTAR SUS SERVICIOS DE APOYO A LA GESTION, COMO CONTADOR PUBLICO EN LA TESORERIA GENERAL DEL DEPARTAMENTO DE NARIÑO.</t>
  </si>
  <si>
    <t>ANGELA MARCELA RUEDA RODRIGUEZ</t>
  </si>
  <si>
    <t>https://www.contratos.gov.co/consultas/detalleProceso.do?numConstancia=20-12-10640889</t>
  </si>
  <si>
    <t>JORGE EFRAIN ROMO VILLOTA</t>
  </si>
  <si>
    <t>NATHALIE CONSTANZA PANTOJA MELO</t>
  </si>
  <si>
    <t>EDUARDO ANDRES SALAS MENA</t>
  </si>
  <si>
    <t>RICHARD ANDRES ROSERO RAMOS</t>
  </si>
  <si>
    <t>SHYRLEY ANDREA GOMEZ PORTILLA</t>
  </si>
  <si>
    <t>JAIRO ANDRES TIMANA PUCHANA</t>
  </si>
  <si>
    <t>MARIO ESTEBAN CALDERON PEREZ</t>
  </si>
  <si>
    <t>ROBINSON DAYAN MENESES RIVERA</t>
  </si>
  <si>
    <t>JORGE ALEJANDRO CHAMORRO CERON</t>
  </si>
  <si>
    <t>JARVI FABIAN ZAMBRANO GUERRERO</t>
  </si>
  <si>
    <t>LUIS DAVID URRESTA MELO</t>
  </si>
  <si>
    <t>JAIRO ANDRES  BRAVO GUERRERO</t>
  </si>
  <si>
    <t>RUTH ALICIA PEREZ DE ESCOBAR</t>
  </si>
  <si>
    <t>JAIRO ANDRES FLOREZ LUNA</t>
  </si>
  <si>
    <t>JUAN CARLOS GOMEZ CANO</t>
  </si>
  <si>
    <t>WILSON GIANCARLO GOYES BURBANO</t>
  </si>
  <si>
    <t>CINDY GERALDINE CAICEDO CORDOBA</t>
  </si>
  <si>
    <t xml:space="preserve">EL CONTRATISTA se compromete con EL DEPARTAMENTO a prestar los servicios Profesionales como abogado con el fin de apoyar en la supervisión, seguimiento, monitoreo y control del Programa de Alimentación Escolar - PAE </t>
  </si>
  <si>
    <t>DIEGO ALEXANDER ARAUJO LOPEZ</t>
  </si>
  <si>
    <t>MARIA CRISTINA BENAVIDES VILLOTA</t>
  </si>
  <si>
    <t>MARLIN MARIELA ROSERO BASTIDAS</t>
  </si>
  <si>
    <t>EDNA ESMERALDA MARTINEZ BETANCOURT</t>
  </si>
  <si>
    <t>JULIAN ALBERTO ROSERO SOLARTE</t>
  </si>
  <si>
    <t>JORGE ELIECER ROSERO MURILLO</t>
  </si>
  <si>
    <t>HAROLD FERNANDO RUIZ BRAVO</t>
  </si>
  <si>
    <t xml:space="preserve">EL CONTRATISTA se compromete con EL DEPARTAMENTO a prestar los servicios Profesionales como Contador Público para apoyar la supervisión, seguimiento, monitoreo y control del Programa de Alimentación Escolar – PAE </t>
  </si>
  <si>
    <t>ALEIDA LOPEZ MUÑOZ</t>
  </si>
  <si>
    <t xml:space="preserve">EL CONTRATISTA se compromete con EL DEPARTAMENTO a prestar los servicios Profesionales como nutricionista con el fin de apoyar en la supervisión, seguimiento, monitoreo y control del Programa de Alimentación Escolar - PAE </t>
  </si>
  <si>
    <t>ERICA JOHANA GARCIA TELLO</t>
  </si>
  <si>
    <t xml:space="preserve">EL CONTRATISTA se compromete con EL DEPARTAMENTO a prestar los servicios de apoyo a la gestión como auxiliar jurídico con el fin de apoyar en la supervisión, seguimiento, monitoreo y control del Programa de Alimentación Escolar - PAE </t>
  </si>
  <si>
    <t>JOSEPH MICHAEL PORTILLA GRAJALES</t>
  </si>
  <si>
    <t>YAN ARTURO URBANO GOMEZ</t>
  </si>
  <si>
    <t>DANIELA FERNANDA DIAZ MONTUFAR</t>
  </si>
  <si>
    <t>BRYAN MAURICIO PAI AREVALO</t>
  </si>
  <si>
    <t>JUAN SEBASTIAN BURGOS GORDILLO</t>
  </si>
  <si>
    <t>NICOLAS MUÑOZ BURBANO</t>
  </si>
  <si>
    <t>CARLOS ANDRES PANTOJA BENAVIDES</t>
  </si>
  <si>
    <t>JENNY ALEJANDRA RODRIGUEZ PALACIOS</t>
  </si>
  <si>
    <t>YAMID EMIR MUÑOZ MARTINEZ</t>
  </si>
  <si>
    <t>CAMILA FERNANDA MORENO CABRERA</t>
  </si>
  <si>
    <t>CARLOS ANDRES  CORDOBA JOJOA</t>
  </si>
  <si>
    <t>ANDRES MAURICIO NAVARRO OLIVA</t>
  </si>
  <si>
    <t>SANDRA JANNETH BOTINA DIAZ</t>
  </si>
  <si>
    <t>https://www.contratos.gov.co/consultas/detalleProceso.do?numConstancia=20-12-10639132</t>
  </si>
  <si>
    <t>PATRICIA DEL SOCORRO RIASCOS ALVARADO</t>
  </si>
  <si>
    <t>AURA MILENA MEJIA</t>
  </si>
  <si>
    <t>2020-05-11</t>
  </si>
  <si>
    <t>https://www.contratos.gov.co/consultas/detalleProceso.do?numConstancia=20-12-10639156</t>
  </si>
  <si>
    <t>FRANCISCO ANTONIO CASTILLO VALENCIA</t>
  </si>
  <si>
    <t>ERIKA CAROLINA CASTILLO MALLAMA</t>
  </si>
  <si>
    <t>ALFONSO EDGAR MORA</t>
  </si>
  <si>
    <t>PRESTACION DE SERVICIOS PARA EL APOYO LOGISTICO PERMANENTE EN LOS OPERATIVOS DE CONTROL, CAPACITACIONES, CAMPAÑAS COMUNICATIVAS, ANALISIS DE INFORMACION QUE SE REALIZAN EN EL DEPARTAMENTO DE NARIÑO POR PARTE DE LA SUBSECRETARIA DE RENTAS PARA CONTRARRESTAR EL CONTRABANDO, LA ACULTURACION DE PRODUCTOS SUJETOS AL IMPUESTO AL CONSUMO Y EL INGRESO ILEGAL DE COMBUSTIBLES.LO ANTERIOR DE CONFORMIDAD CON LOS DOCUMENTOS DEL PROCESO, QUE HACEN PARTE INTEGRAL DEL CONTRATO.</t>
  </si>
  <si>
    <t>DIANA PATRICIA MEZA CHIRAN</t>
  </si>
  <si>
    <t>https://www.contratos.gov.co/consultas/detalleProceso.do?numConstancia=20-12-10640869</t>
  </si>
  <si>
    <t xml:space="preserve">PRESTACION DE SERVICIOS DE APOYO A LA GESTION EN LA SUBSECRETARIA DE DESARROLLO COMUNITARIO PARA EL FORTALECIMIENTO DE LA SOBERANIA SOCIO CULTURAL Y GOBIERNO PROPIOS DE LOS SIETE PUEBLOS INDIGENAS DEL DEPARTAMENTO DE NARIÑO </t>
  </si>
  <si>
    <t>[{"fecha_suscripcion'":"2020-03-20","fecha_legalizacion":"2020-05-29","tipo Adicion":"otra","valor":"0","tiempo":"otra-"}]</t>
  </si>
  <si>
    <t>https://www.contratos.gov.co/consultas/detalleProceso.do?numConstancia=20-12-10639232</t>
  </si>
  <si>
    <t>PRESTACIÓN DE SERVICIOS PROFESIONALES PARA APOYAR EL DESARROLLO DE PROCESOS Y ACTIVIDADES DE EMPRENDIMIENTO CULTURAL y GESTIÓN PUBLICA DE LA DIRECCIÓN ADMINISTRATIVA DE CULTURA DEL DEPARTAMENTO DE NARIÑO.</t>
  </si>
  <si>
    <t>GLORIA FERNANDA PASTAS MORALES</t>
  </si>
  <si>
    <t>2020-11-05</t>
  </si>
  <si>
    <t>https://www.contratos.gov.co/consultas/detalleProceso.do?numConstancia=20-12-10679316</t>
  </si>
  <si>
    <t>ALEXANDRA MILENA CHAVES GUERRERO</t>
  </si>
  <si>
    <t>LEIDY VANESSA ZARAMA CORAL</t>
  </si>
  <si>
    <t>PRESTACION DE SERVICIOS PROFESIONALES COMO INGENIERO AGRONOMO PARA BRINDAR APOYO EN LA ARTICULACION DE LA COOPERACION INTERNACIONAL CON LOS PROGRAMAS Y PROYECTOS A CARGO DE LA SECRETARIA DE AGRICULTURA Y DESARROLLO RURAL.</t>
  </si>
  <si>
    <t>FERNANDO BURBANO VALDEZ</t>
  </si>
  <si>
    <t>https://www.contratos.gov.co/consultas/detalleProceso.do?numConstancia=20-12-10640294</t>
  </si>
  <si>
    <t xml:space="preserve">PRESTACION DE SERVICIOS PROFESIONALES COMO INGENIERO CIVIL PARA APOYAR LOS PROCESOS DE ESTRUCTURACION FORMULACION EJECUCION Y SEGUIMIENTO DE LOS PROYECTOS DE BIENES PUBLICOS RURALES E INFRAESTRUCTURA PRODUCTIVA A CARGO DE LA SECRETARIA DE AGRICULTURA Y DESARROLLO RURAL DE DEPARTAMENTO DE NARIÑO </t>
  </si>
  <si>
    <t>HECTOR ROMAN SUAREZ NARVAEZ</t>
  </si>
  <si>
    <t>2020-11-06</t>
  </si>
  <si>
    <t>https://www.contratos.gov.co/consultas/detalleProceso.do?numConstancia=20-12-10682139</t>
  </si>
  <si>
    <t xml:space="preserve">PRESTACION DE SERVICIOS PROFESIONALES COMO COMUNICADORA SOCIAL Y PERIODISTA PARA EL DESARROLLO DE LAS ACTIVIDADES DE PERIODISMO, GRABACION, FOTOGRAFIA, REPORTERIA Y EDICION PARA LA SECRETARIA DE AGRICULTURA Y LA ESTRATEGIA DE COMUNICACIÓN DE LA GOBERNACION DE NARIÑO. </t>
  </si>
  <si>
    <t>ANGIE CATHERINE GUATIVA MELO</t>
  </si>
  <si>
    <t>https://www.contratos.gov.co/consultas/detalleProceso.do?numConstancia=20-12-10660789</t>
  </si>
  <si>
    <t>PRESTACIÓN DE SERVICIOS PROFESIONALES COMO INGENIERO EN PRODUCCIÓN ACUICOLA PARA BRINDAR APOYO EN EL SEGUIMIENTO EJECUCIÓN E IMPLEMENTACION DE LOS PROYECTOS ACUICOLAS QUE SE ENCUENTREN A CARGO DELA SECRETARIA DE AGRICULTURA Y DESARROLLO RURAL DEL DEPARTAMENTO DE NARIÑO.</t>
  </si>
  <si>
    <t>DIEGO TOBIAS CHAVEZ GOYES</t>
  </si>
  <si>
    <t>https://www.contratos.gov.co/consultas/detalleProceso.do?numConstancia=20-12-10799420</t>
  </si>
  <si>
    <t xml:space="preserve">PRESTACION DE SERVICIOS PROFESIONALES PARA EL APOYO AL FORTALECIMIENTO ORGANIZATIVO DE LAS ORGANIZACIONES COMUNALES Y DE LOS PROCESOS  DERIVADOS DE LA MESA AGRARIA ETNCIA Y POPULAR DEL DEPARTAMENTO DE NARIÑO </t>
  </si>
  <si>
    <t>CRISTINA JOHANA GUERRERO BRAVO</t>
  </si>
  <si>
    <t>2020-11-09</t>
  </si>
  <si>
    <t>[{"fecha_suscripcion'":"2020-05-04","fecha_legalizacion":"2020-05-29","tipo Adicion":"otra","valor":"0","tiempo":"otra-"}]</t>
  </si>
  <si>
    <t>https://www.contratos.gov.co/consultas/detalleProceso.do?numConstancia=20-12-10639802</t>
  </si>
  <si>
    <t>IVAN CAMILO ANDRADE LOPEZ</t>
  </si>
  <si>
    <t>2020-11-29</t>
  </si>
  <si>
    <t>LA CONTRATISTA SE COMPROMETE PARA CON EL DEPARTAMENTO A PRESTAR POR SUS SERVICIOS PROFESIONALES COMO ABOGADA PARA APOYAR EN LA EJECUCION DE LOS PROYECTOS FINANCIADOS POR EL SISTEMA GENERAL DE REGALIAS AL DEPARTAMENTO DE NARIÑO. LO ANTERIOR DE CONFORMIDAD CON LOS DOCUMENTOS DEL PROCESO, QUE HACEN PARTE INTEGRAL DEL CONTRATO.</t>
  </si>
  <si>
    <t>MARTHA ISABEL LOPEZ GUERRERO</t>
  </si>
  <si>
    <t>2020-11-15</t>
  </si>
  <si>
    <t>[{"fecha_suscripcion'":"2020-04-15","fecha_legalizacion":"2020-04-30","tipo Adicion":"otra","valor":"0","tiempo":"otra-"}]</t>
  </si>
  <si>
    <t>https://www.contratos.gov.co/consultas/detalleProceso.do?numConstancia=20-12-10638372</t>
  </si>
  <si>
    <t xml:space="preserve">LA CONTRATISTA SE OBLIGA PARA CON EL DEPARTAMENTO A PRESTAR SUS SERVICIOS PROFESIONALES COMO FONOAUDIOLOGA PARA APOYAR LA EJECUCION  DEL PLAN DE ACCION  2020 DISEÑADO POR  LA SECRETARIA SECRETARIA DE EQUIDAD DE GENERO E INCLUSION SOCIAL DE LA GOBERNACION DE NARIÑO REQUERIDO PARA CUMPLIR CON LOS OBJETIVOS Y METAS ESTABLECIDAS EN EL SUB PROGRAMA  DE DISCAPACIDAD CON CODIGO BPID 2019520001607. LO ANTERIOR DE CONFORMIDAD CON LOS DOCUMENTOS QUE HACEN PARTE INTEGRAL DEL PROCESO </t>
  </si>
  <si>
    <t>ANA SOFIA ROJAS PAZ</t>
  </si>
  <si>
    <t>2020-11-10</t>
  </si>
  <si>
    <t>https://www.contratos.gov.co/consultas/detalleProceso.do?numConstancia=20-12-10676442</t>
  </si>
  <si>
    <t xml:space="preserve">PRESTACION DE SERVICIOS  DE APOYO A LA GESTION PARA  COADYUVAR EN LA EJECUCION DEL PROGRAMA DE SEGURIDAD VIAL APOYO ADMINISTRATIVO EN MATERIA DE ARCHIVO DOCUMENTAL COMO CONDUCTOR DE LA SUBSECRETARIA DE TRANSITO Y TRANSPORTE DEL DEPARTAMENTO DE NARIÑO </t>
  </si>
  <si>
    <t>https://www.contratos.gov.co/consultas/detalleProceso.do?numConstancia=20-12-10640535</t>
  </si>
  <si>
    <t>EL CONTRATISTA SE OBLIGA CON EL DEPARTAMENTO A PRESTAR SUS SERVICIOS DE APOYO A LA GESTIÓN EN ACTIVIDADES ASISTENCIALES Y ADMINISTRATIVAS EN LA OFICINA DE COOPERACIÓN INTERNACIONAL, EN EL DESARROLLO DEL PROYECTO “FORTALECIMIENTO DE LA ESTRATEGIA DE COOPERACIÓN INTERNACIONAL EN EL DEPARTAMENTO DE NARIÑO”</t>
  </si>
  <si>
    <t>JORGE ENRIQUE JURADO MONTENEGRO</t>
  </si>
  <si>
    <t>https://www.contratos.gov.co/consultas/detalleProceso.do?numConstancia=20-12-10680149</t>
  </si>
  <si>
    <t>MARIA CAMILA DIAZ PAREDES</t>
  </si>
  <si>
    <t>ANDREA LIZETH SALAS ROJAS</t>
  </si>
  <si>
    <t>https://www.contratos.gov.co/consultas/detalleProceso.do?numConstancia=20-12-10632553</t>
  </si>
  <si>
    <t xml:space="preserve">PRESTACION DE SERVICIOS DE APOYO A LA GESTION PARA APOYAR LA REALIZACION DE LOS DIFERETNES PROCESOS Y TRAMITES EN LA SEDE OPERATIVA DEL MUNICIPIOD TANGUA DE LA SUBSECRETARIA DE TRANSITO Y TRANSPORTE DEL DEPARTAMENTO DE NARIÑO. </t>
  </si>
  <si>
    <t>MARIA MARCELA AGUDELO  MEJIA</t>
  </si>
  <si>
    <t>https://www.contratos.gov.co/consultas/detalleProceso.do?numConstancia=20-12-10640584</t>
  </si>
  <si>
    <t>PRESTACION DE SERVICIOS PROFESIONALES COMO ADMINISTRADORA PUBLICA PARA APOYAR EL FORTALECIMIENTO DE LOS PROCESOS Y ACTIVIDADES DE PARTICIPACIÓN CIUDADANA EN EL ÁMBITO DE LA CULTURA REQUERIDOS PARA EL CUMPLIMIENTO DE LAS METAS Y OBJETIVOS DE LA DIRECCIÓN ADMINISTRATIVA DE CULTURA.</t>
  </si>
  <si>
    <t>VILMA LUCELY BENAVIDES CASTRO</t>
  </si>
  <si>
    <t>https://www.contratos.gov.co/consultas/detalleProceso.do?numConstancia=20-12-10680241</t>
  </si>
  <si>
    <t>PRESTACIÓN DE SERVICIOS PROFESIONALES COMO MÚSICO PARA APOYAR TODAS LAS ACTIVIDADES DEL ÁREA DE BELLAS ARTES MUSICALES DE LA DIRECCIÓN ADMINISTRATIVA DE CULTURA DEL DEPARTAMENTO DE NARIÑO.</t>
  </si>
  <si>
    <t>OSCAR ARMNADO BENAVIDES DELGADO</t>
  </si>
  <si>
    <t>https://www.contratos.gov.co/consultas/detalleProceso.do?numConstancia=20-12-10679362</t>
  </si>
  <si>
    <t xml:space="preserve">PRESTACION DE SERVICIOS PROFESIONALES PARA APOYAR EL DESARROLLO DE ACTIVIDADES RELACIONADAS CON LA DINAMIZACION DE ESPACIOS Y ESCENARIOS CULTURALES DEL DEPARTAMENTO </t>
  </si>
  <si>
    <t>DAIRY YAMILE SANTACRUZ RECALDE</t>
  </si>
  <si>
    <t>https://www.contratos.gov.co/consultas/detalleProceso.do?numConstancia=20-12-10639887</t>
  </si>
  <si>
    <t>2020-06-11</t>
  </si>
  <si>
    <t>EL CONTRATISTA SE OBLIGA CON EL DEPARTAMENTO A PRESTAR SUS SERVICIOS PROFESIONALES EN LA DIRECCIÓN ADMINISTRATIVA DE TURISMO DE LA GOBERNACION DE NARIÑO PARA FORTALECER E IMPULSAR EL TURISMO REGIONAL ACORDE AL PLAN DE DESARROLLO DEPARTAMENTAL.</t>
  </si>
  <si>
    <t>LILIANA MARGOTH PATIÑO ECHEVERRY</t>
  </si>
  <si>
    <t>https://www.contratos.gov.co/consultas/detalleProceso.do?numConstancia=20-12-10818643</t>
  </si>
  <si>
    <t>EL CONTRATISTA SE OBLIGA PARA CON EL DEPARTAMENTO A PRESTAR POR SUS PROPIOS MEDIOS CON PLENA AUTONOMIA TECNICA Y ADMINISTRATIVA LOS SERVICIOS DE APOYO A LA GESTION COMO TECNOLOGIA EN ANALISIS Y DESARROLLO DE SISTEMAS DE INFORMACION PARA EL LEVANTAMIENTO DE REQUERIMIENTOS NECESARIOS EN LOS EQUIPOS DE COMPUTO DE LA GOBERNACION DE NARIÑO.</t>
  </si>
  <si>
    <t>YINA PAOLA BOLAÑOS GOMEZ</t>
  </si>
  <si>
    <t>https://www.contratos.gov.co/consultas/detalleProceso.do?numConstancia=20-12-10640703</t>
  </si>
  <si>
    <t>PRESTACION  DE SERVICIOS PROFESIONALES COMO ECONOMISTA EN LA SECRETARIA DE AMBIENTE Y DESARROLLO SOSTENIBLE DEL DEPARTAMENTO DE NARIÑO PARA COADYUVAR EN LA COORDINACION DEL COMPONENTE DE FORTALECIMIENTO DE LA CULTURA AMBIENTAL PARA EL MANEJO DE LOS RECURSOS NATURALES Y LOS SERVICIOS ECOSISTEMICOS DE NARIÑO COMO UNA ESTRATEGIA PARA EL ACCIONAR DE LA SECRETARIA DE AMBIENTE Y DESARROLLO SOSTENIBLE.</t>
  </si>
  <si>
    <t>CESAR STEVEN ACEVEDO RAMIREZ</t>
  </si>
  <si>
    <t>https://www.contratos.gov.co/consultas/detalleProceso.do?numConstancia=20-12-10800399</t>
  </si>
  <si>
    <t>PRESTACION DE SERVICIOS PROFESIONALES APOYANDO EL FORTALECIMIENTO DE LA CULTURA AMBIENTAL Y DEMAS ACTIVIDADES CULTURALES DE LA DIRECCION ADMINISTRATIVA DE CULTURA DEL DEPARTAMENTO DE NARIÑO.</t>
  </si>
  <si>
    <t>CLAUDIA YULIET CALVACHE PANTOJA</t>
  </si>
  <si>
    <t>https://www.contratos.gov.co/consultas/detalleProceso.do?numConstancia=20-12-10800289</t>
  </si>
  <si>
    <t xml:space="preserve">PRESTACION DE SERVICIOS DE APOYO Y ACOMPAÑAMIENTO TECNICO EN EL FORTLACIMIENTO DE LA SOBERANIA SOCIOACULTURAL Y GOBERNANZA DE LOS CONSEJOS COMUNITARIOS Y LAS ORGANIZACIONES AFRO EN EL DEPARTAMENTO DE NARIÑO. LO ANTERIRO DE CONFORMIDAD CON LOS DOCUMENTOS DEL PROCESO QUE HACEN PARTE INTEGRAL DEL CONTRATO </t>
  </si>
  <si>
    <t>ROCIO VALENCIA CASIERRA</t>
  </si>
  <si>
    <t>https://www.contratos.gov.co/consultas/detalleProceso.do?numConstancia=20-12-10800928</t>
  </si>
  <si>
    <t xml:space="preserve">PRESTAR SUS SERVICIOS PROFESIONALES PARA EL APOYO Y ACOMPAÑAMIENTO TECNICO EN EL FORTALECIMIENTO DE LA SOBERANIA SOCIO CULTURAL Y GOBERNANZA DE LOS CONSEJOS COMUNITARIOS Y ALAS ORGANIZACIONES AFRO EN EL DEPARTAMENTO DE NARIÑO </t>
  </si>
  <si>
    <t>MARIA ANTONIA AMAYA ORDOÑEZ</t>
  </si>
  <si>
    <t>https://www.contratos.gov.co/consultas/detalleProceso.do?numConstancia=20-12-10640289</t>
  </si>
  <si>
    <t xml:space="preserve">PRESTACION DE SERVICIOS DE APOYO A LA GESTION COMO AUXILIAR JURIDICO PARA LA PROYECCION DE ACTOS ADMINISTRATIVOS QUE SE DERIVEN DE LOS PROCESOS CONTRAVENCIONALES Y COBRO COACTIVO POR INFRACCION A LAS NORMAS DE TRANSITO Y DEMAS ACTIVIDADES PROPIAS DE LA SUBSECRETARIA DE TRANSITO Y TRANSPORTE DEPARTAMENTAL DE NARIÑO </t>
  </si>
  <si>
    <t>KEBYN ALFREDO JARAMILLO BACCA</t>
  </si>
  <si>
    <t xml:space="preserve">EL CONTRATISTA DEBE PRESTAR POR SUS PROPOS MEDIOS CON PLENA AUTONOIA TECNICA Y ADMISNITRATIVA LOS SERVICIOS COMO ENTRENADOR DEPORTIVO DE LA SELECCION NARIÑO EN LA DISIPLINA DE FUTBOL MASCULINO DEL DEPARTAMENTO DE NARIÑO EN ASUNTOS RELACIONADOS CON FOMENTO MASIFICACION Y PREPARACION DEPORTIVA DE ALTOS LOGROS Y ASI MISMO EN ASPECTOS DE CAPACITACION Y ORIENTACION DEPORTIVA DE LA LIGA DE FUTBOL MASCULINO DE NARIÑO </t>
  </si>
  <si>
    <t>HERNAN DARIO RODRIGUEZ MORILLO</t>
  </si>
  <si>
    <t>https://www.contratos.gov.co/consultas/detalleProceso.do?numConstancia=20-12-10640143</t>
  </si>
  <si>
    <t xml:space="preserve">	EL CONTRATISTA DEBE PRESTAR POR SUS PROPIOS MEDIOS CON PLENA AUTONOMIA TECNICA LOS SERVICIOS COMO MONITOR 2 DEPORTIVO EN LA DISCIPLINA DE CICLISMO DE RUTA PARA LA RAMA MASCULINA Y FEMENINA DEL DEPARTAMENTO DE NARIÑO EN ASUNTOS RELACIONADOS CON FOMENTO MASIFICACION Y PREPARACIÓN DEPORTIVA DE ALTOS LOGROS Y ASI MISMO EN ASPECTOS DE CAPACITACIÓN Y ORIENTACIÓN DE LA LIGA DE CICLISMO DE RUTA DE NARIÑO.</t>
  </si>
  <si>
    <t>ALEX YESID ATAPUMA HURTADO</t>
  </si>
  <si>
    <t>https://www.contratos.gov.co/consultas/detalleProceso.do?numConstancia=20-12-10640215</t>
  </si>
  <si>
    <t xml:space="preserve">EL CONTRATISTA DEBE PRESTAR POR SUS PROPIOS MEDIOS CON PLENA AUTONOMIA TECNICA LOS SERVICIOS COMO MONITOR DEPORTIVO EN LA DISCIPLINA DE CICLISMO DE RUTA PARA LA RAMA MASCULINA Y FEMENINA DEL DEPARTAMENTO DE NARIÑO EN ASUNTOS RELACIONADOS CON FOMENTO MASIFICACION Y PREPARACION DEPORTIVA DE ALTOS LOGROS Y ASI  MISMO EN ASPECTOS DE CAPACITACION Y ORIENTACION DE LA LIGA DE CICLISMO DE RUTA DE NARIÑO </t>
  </si>
  <si>
    <t>REMIGIO HUMBERTO ATAPUMA HURTADO</t>
  </si>
  <si>
    <t>2020-11-12</t>
  </si>
  <si>
    <t>https://www.contratos.gov.co/consultas/detalleProceso.do?numConstancia=20-12-10640208</t>
  </si>
  <si>
    <t xml:space="preserve">EL CONTRATISTA DEBE PRESTAR POR SUS PROPIOS MEDIOS CON PLENA AUTONOMÍA TECNICA Y ADMINISTRATIVA LOS SERVICIOS COMO ENTRENADOR DEPORTIVO DE LA SELECCION NARIÑO EN LA DISCIPLINA DE ATLETISMO EN LA RAMA FEMENINA Y  MASCULINA DEL DEPARTAMENTO DE NARIÑO EN ASUNTOS RELACIONADOS CON FOMENTO MASIFICACION Y PREPARACION DEPORTIVA DE ALTOS LOGROS Y ASI MISMO EN ASPECTOS DE CAPACITACION Y ORIENTACION DEPORTIVA DE LA LIGA DE ATLETISMO  DE NARIÑO </t>
  </si>
  <si>
    <t>PABLO JAIME ARTEAGA RODRIGUEZ</t>
  </si>
  <si>
    <t>https://www.contratos.gov.co/consultas/detalleProceso.do?numConstancia=20-12-10640266</t>
  </si>
  <si>
    <t xml:space="preserve">EL CONTRATISTA DEBE PRESTAR POR SUS PROPIOS MEDIOS CON PLENA AUTONOMÍA TECNICA Y ADMINISTRATIVA LOS SERVICIOS COMO ENTRENADOR DEPORTIVO DE LA SELECCION NARIÑO EN LA DISCIPLINA DE LEVANTAMIENTO DE PESAS EN LA RAMA FEMENINA Y  MASCULINA DEL DEPARTAMENTO DE NARIÑO EN ASUNTOS RELACIONADOS CON FOMENTO MASIFICACION Y PREPARACION DEPORTIVA DE ALTOS LOGROS Y ASI MISMO EN ASPECTOS DE CAPACITACION Y ORIENTACION DEPORTIVA DE LA LIGA DE LEVANTAMIENTO DE PESAS  DE NARIÑO </t>
  </si>
  <si>
    <t>ALVARO ANDRES HOYOS BUCHELI</t>
  </si>
  <si>
    <t xml:space="preserve">EL CONTRATISTA DEBE PRESTAR POR SUS PROPIOS MEDIOS CON PLENA AUTONOMÍA TECNICA Y ADMINISTRATIVA LOS SERVICIOS COMO MONITOR DEPORTIVO DE LA SELECCION NARIÑO EN LA DISCIPLINA DE BOXEO EN LA RAMA FEMENINA Y  MASCULINA DEL DEPARTAMENTO DE NARIÑO EN ASUNTOS RELACIONADOS CON FOMENTO MASIFICACION Y PREPARACION DEPORTIVA DE ALTOS LOGROS Y ASI MISMO EN ASPECTOS DE CAPACITACION Y ORIENTACION DEPORTIVA DE LA LIGA DE BOXEO  DE NARIÑO </t>
  </si>
  <si>
    <t>WALDEIR MERCHANCANO ANGULO</t>
  </si>
  <si>
    <t>https://www.contratos.gov.co/consultas/detalleProceso.do?numConstancia=20-12-10640664</t>
  </si>
  <si>
    <t xml:space="preserve">EL CONTRATISTA DEBE PRESTAR POR SUS PROPIOS MEDIOS CON PLENA AUTONOMIA TECNICA LOS SERVICIOS COMO MONITOR DEPORTIVO DE LA SELECCION NARIÑO EN LA DISCIPLINA DE BALONCESTO PARA LA RAMA FEMENINA Y  MASCULINA DEL DEPARTAMENTO DE NARIÑO EN ASUNTOS RELACIONADOS CON FOMENTO MASIFICACION Y PREPARACION DEPORTIVA DE ALTOS LOGROS Y ASI MISMO EN ASPECTOS DE CAPACITACION Y ORIENTACION DEPORTIVA DE LA LIGA DE BALONCESTO  DE NARIÑO. </t>
  </si>
  <si>
    <t>MARIO ANDRES ZUÑIGA CORTES</t>
  </si>
  <si>
    <t>https://www.contratos.gov.co/consultas/detalleProceso.do?numConstancia=20-12-10640690</t>
  </si>
  <si>
    <t xml:space="preserve">EL CONTRATISTA DEBE PRESTAR POR SUS PROPIOS MEDIOS CON PLENA AUTONOMÍA TECNICA Y ADMINISTRATIVA LOS SERVICIOS COMO MONITOR DEPORTIVO DE LA SELECCION NARIÑO EN LA DISCIPLINA DE GIMNASIA EN LA RAMA FEMENINA Y  MASCULINA DEL DEPARTAMENTO DE NARIÑO EN ASUNTOS RELACIONADOS CON FOMENTO MASIFICACION Y PREPARACION DEPORTIVA DE ALTOS LOGROS Y ASI MISMO EN ASPECTOS DE CAPACITACION Y ORIENTACION DEPORTIVA DE LA LIGA DE GIMNASIA DE NARIÑO </t>
  </si>
  <si>
    <t>RUTH DARY NARVAEZ NARVAEZ</t>
  </si>
  <si>
    <t>LA CONTRATISTA DEBE PRESTAR POR SUS PROPIOS MEDIOS CON PLENA AUTONOMIA TECNICA Y ADMINISTRATIVA, SUS SERVICIOS COMO FISIOTERAPEUTA PARA LA ATENCION A LOS DEPORTISTAS DE LA LIGA DE BOXEO DEL DEPARTAMENTO DE NARIÑO, CON LA FINALIDAD DE LOGRAR UNA ATENCION INTEGRAL DE ALTOS LOGROS DEL DEPORTE CONVENCIONAL Y PARANACIONAL.</t>
  </si>
  <si>
    <t>NAYIVI ALEJANDRA PAZ JOJOA</t>
  </si>
  <si>
    <t>https://www.contratos.gov.co/consultas/detalleProceso.do?numConstancia=20-12-10640650</t>
  </si>
  <si>
    <t xml:space="preserve">PRESTACION DE SERVICIOS PROFESIONALES COMO ADMINISTRADOR ÁRA BRINDAR APOYO EN LA ESTRUCTURACION DE LOSP ORYECTOS A CARGO DEL LAS SECRETARIA DE AGRICULTURA Y DESARROLLO RURAL DEL DEPARTAMENTO DE NARIÑO ASI COMO EN LA ARTICULACION INTERINSTITUCIONAL PARA GESTIONAR Y AGILIZAR LOS TRAMIES Y PROCESOSO ENCAMINDAOS A LA VIABILIZACION  DE LOS MISMOS </t>
  </si>
  <si>
    <t>BAYRON JAIR REVELO GUEVARA</t>
  </si>
  <si>
    <t>https://www.contratos.gov.co/consultas/detalleProceso.do?numConstancia=20-12-10640915</t>
  </si>
  <si>
    <t>EL CONTRATISTA SE COMPROMETE PARA CON EL DEPARTAMENTO APRESTAR SUS SERVICIOS DE APOYO TECNICO EN EL DESARROLLO DE EVALUACIONES, VERIFICACIONES Y SEGUIMIENTOS QUE ADELANTA LA OFICINA DE CONTROL INTERNO DE GESTION EN LAS AREAS DE ADMINISTRACION Y DE EJECUCION DE PROYECTOS APROBADOS POR EL DEPARTAMENTO DE NARIÑO. ASI MISMO APOYARA EN EL SEGUIMIENTO A LOS PLANES DE MEJORAMIENTO INTERNOS Y EXTERNOS SUSCRITOS POR LA GOBERNACION DE NARIÑO.</t>
  </si>
  <si>
    <t>OSCAR MAURICIO BENAVIDES DE LOS RIOS</t>
  </si>
  <si>
    <t>https://www.contratos.gov.co/consultas/detalleProceso.do?numConstancia=20-12-10640059</t>
  </si>
  <si>
    <t>PRESTACION DE SERVICIOS PROFESIONALES COMO INGENIERO AGROINDUSTRIAL PARA APOYAR LOS PROCESOS DE ESTRUCTURACION, FORMULACION, EJECUCION Y SEGUIMIENTO DE LOS PROYECTOS DE BIENES PUBLICOS RURALES E INFRAESTRUCTURA PRODUCTIVA A CARGO DE LA SECRETARIA DE AGRICULTURA Y DESARROLLO RURAL DEL DEPARTAMENTO DE NARIÑO.</t>
  </si>
  <si>
    <t>OSCAR FERNANDO IBARRA TULCANAZA</t>
  </si>
  <si>
    <t>2020-05-08</t>
  </si>
  <si>
    <t>https://www.contratos.gov.co/consultas/detalleProceso.do?numConstancia=20-12-10642915</t>
  </si>
  <si>
    <t xml:space="preserve">EL CONTRATISTA DEBE PRESTAR POR SUS PROPIOS MEDIOS CON PLENA AUTONOMIA TECNICA LOS SERVICIOS COMO MONITOR 1  DE LA SELECCION NARIÑO EN LA DISCIPLINA DE BALONCESTO PARA LA RAMA MASCULINA EN EL DEPARTAMENTO DE NARIÑO EN ASUNTOS RELACIONADOS CON FOMENTO MASIFICACION Y PREPARACION DEPORTIVA DE ALTOS LOGROS ASI MISMO EN ASPECTOS DE CAPACITACION Y ORIENTACION DEPORTIVA DE LA LIGA DE BALONCESTO DE NARIÑO </t>
  </si>
  <si>
    <t>CARLOS DEIBY RODRIGUEZ ARGOTY</t>
  </si>
  <si>
    <t>2020-11-13</t>
  </si>
  <si>
    <t>https://www.contratos.gov.co/consultas/detalleProceso.do?numConstancia=20-12-10640278</t>
  </si>
  <si>
    <t xml:space="preserve">EL CONTRATISTA DEBE PRESTAR POR SUS PROPIOS MEDIOS CON PLENA AUTONOMIA TECNICA LOS SERVICIOS COMO MONITOR 2  DE LA SELECCION NARIÑO EN LA DISCIPLINA DE CICLISMO DE RUTA PARA LA RAMA MASCULINA EN EL DEPARTAMENTO DE NARIÑO EN ASUNTOS RELACIONADOS CON FOMENTO MASIFICACION Y PREPARACION DEPORTIVA DE ALTOS LOGROS ASI MISMO EN ASPECTOS DE CAPACITACION Y ORIENTACION DEPORTIVA DE LA LIGA DE CICLISMO DE RUTA DE NARIÑO </t>
  </si>
  <si>
    <t>WALTER ARDANY BARCO DIAZ</t>
  </si>
  <si>
    <t>EL CONTRATISTA DEBE PRESTAR POR SUS PROPIOS MEDIOS, CON PLENA AUTONOMIA TECNICA Y ADMINISTRATIVA, LOS SERVICIOS COMO MONITOR 1 DEPORTIVO DE LA SELECCION NARIÑO EN LA DISCIPLINA DE LEVANTAMIENTO DE PESAS PARA LA RAMA FEMENINA Y MASCULINA EN ASUNTOS RELACIONADOS CON FOMENTO MASIFICACION Y PREPARACION DEPORTIVA DE ALTOS LOGROS Y ASI MISMO EN ASPECTOS DE CAPACITACION Y ORIENTACION DEPORTIVA DE LA LIGA DE LEVANTAMIENTO DE PESAS DE NARIÑO.</t>
  </si>
  <si>
    <t>MARIO FERNANDO LORA ERASO</t>
  </si>
  <si>
    <t>https://www.contratos.gov.co/consultas/detalleProceso.do?numConstancia=20-12-10639772</t>
  </si>
  <si>
    <t>El CONTRATISTA debe prestar por sus propios medios, con plena autonomía técnica
y administrativa, los servicios como MONITOR (1) deportivo de la selección Nariño en la disciplina de FUTBOL para la rama femenina y masculina en asuntos relacionados con fomento masificación y preparación deportiva de altos logros y así mismo en
aspectos de capacitación y orientación deportiva que la liga de futbol de Nariño.</t>
  </si>
  <si>
    <t>DANIEL QUISCUALTUD ESTRADA</t>
  </si>
  <si>
    <t>https://www.contratos.gov.co/consultas/detalleProceso.do?numConstancia=20-12-10639800</t>
  </si>
  <si>
    <t>AURA CECILIA DIAZ MUÑOZ</t>
  </si>
  <si>
    <t>2020-05-15</t>
  </si>
  <si>
    <t>EL CONTRATISTA SE OBLIGA CON EL DEPARTAMENTO A PRESTAR SUS SERVICIOS PROFESIONALES COMO ADMINISTRADOR DE EMPRESAS EN LA OFICINA DE AGUARDIENTE NARIÑO, ADSCRITA A LA SUBSECRETARIA DE RENTAS PARA APOYAR EN LA IMPLEMENTACION DE ESTRATEGIAS COMERCIALES Y DE MERCADEO PARA POSICIONAR LA MARCA AGUARDIENTE NARIÑO EN EL TERRITORIO DEPARTAMENTAL.</t>
  </si>
  <si>
    <t>MARCEL EDUARDO ALBORNOZ ROMO</t>
  </si>
  <si>
    <t>2020-10-12</t>
  </si>
  <si>
    <t xml:space="preserve">PRESTACION DE SERVICIOS COMO APOYO A LA GESTION EN LA SECRETARIA DE AMBIENTE Y DESARROLLO SOSTENIBLE DEL DEPARTAMENTO DE NARIÑO PARA EL DESARROLLO DE ACTIVIDADES DE APORODUCCION DE PIEZAS PUBLICITARIAS  GRAFICAS ESTRATEGIAS CREATIVAS DISEÑO DE MATERIAL EDUCOMUNICATIVO MEDIOS IMPRESOS Y CONTRIBUIR CON LA REALIZACION DE ACTIVIDADES DE MITIGACION AL CAMBIO CLIMATICO DE SENSIBILIZACION AMBIENTAL ACTIVIDADES  ECO PEDAGOGICAS </t>
  </si>
  <si>
    <t>WILBERT FABIAN ASCUNTAR TORRES</t>
  </si>
  <si>
    <t>https://www.contratos.gov.co/consultas/detalleProceso.do?numConstancia=20-12-10800042</t>
  </si>
  <si>
    <t xml:space="preserve">PRESTACIÓN DE SERVICIOS PROFESIONALES EN LA SECRETARIA DE AMBIENTE Y DESARROLLO SOSTENSIBLE DEL DEPARTAMENTO DE NARIÑO COMO INGENIERO AGROFORESTAL PARA APOYAR EN LOS PROCESOS DE FORTALECIMIENTO DE CULTURA AANBIENTAL PARA EL MANEJO Y USO SOSTENIBLE DELOS RECURSOS NATURALES ECO SISTEMICOS DEL DEPARTAMENTO DE NARIÑO </t>
  </si>
  <si>
    <t>VILMAR ALEXANDER OBANDO RODRIGUEZ</t>
  </si>
  <si>
    <t>https://www.contratos.gov.co/consultas/detalleProceso.do?numConstancia=20-12-10799519</t>
  </si>
  <si>
    <t>EVELYNE GIOVANNA BENAVIDES BENAVIDES</t>
  </si>
  <si>
    <t xml:space="preserve">EL CONTRATISTA SE OBLIGA CON EL DEPARTAMENTO A PRESTAR SUS SERVICIOS DE APOYO A LA GESTION EN EL MANTENIMIENTO DE REDES ELECTRICAS Y REDES INFORMÁTICAS DE LA SECRETARIA TIC INNOVACION Y GOBIERNO ABIERTO </t>
  </si>
  <si>
    <t>JUAN PABLO URBANO BRAVO</t>
  </si>
  <si>
    <t>https://www.contratos.gov.co/consultas/detalleProceso.do?numConstancia=20-12-10672568</t>
  </si>
  <si>
    <t>CHRISTIAN ANDREY TOBAR SOLARTE</t>
  </si>
  <si>
    <t>2020-06-16</t>
  </si>
  <si>
    <t>LA CONTRATISTA SE OBLIGA CON EL DEPARTAMENTO A PRESTAR SUS SERVICIOS INTEGRALES DE ASEO CAFETERIA Y OFICIOS VARIOS EN LA DEPENDENCIAS DE LA OFICINA DE FRONTERAS Y BINACIONAL CON EL FIN DE CONSERVAR EN BUEN ESTADO SUS INSTALACIONES.</t>
  </si>
  <si>
    <t>NANCY GUADALUPE BASTIDAS ARTEAGA</t>
  </si>
  <si>
    <t>https://www.contratos.gov.co/consultas/detalleProceso.do?numConstancia=20-12-10639956</t>
  </si>
  <si>
    <t xml:space="preserve">EL CONTRATISTA SE OBLIGA CON EL DEPARTAMENTO A PRESTAR SUS SERVICIOS DE APOYO A LA GESTIóN COMO AUXILIAR CONTABLE, EN LA SUBSECRETARíA DE PRESUPUESTO. LO ANTERIOR DE CONFORMIDAD CON LOS DOCUMENTOS DEL PROCESO, QUE HACEN PARTE INTEGRAL DEL CONTRATO. </t>
  </si>
  <si>
    <t>ANDRES MAURICIO PIANDOY ARMERO</t>
  </si>
  <si>
    <t>https://www.contratos.gov.co/consultas/detalleProceso.do?numConstancia=20-12-10680123</t>
  </si>
  <si>
    <t xml:space="preserve">PRESTACION DE SERVICIOS PROFESIONALES COMO INGENIERO CIVIL PARA APOYAR LA EJECUCIÓN Y SEGUIMIENTO DE LAS OBRAS CIVILES DE LOS BIENES INMUEBLES PATRIMONIALES DEL DEPARTAMENTO DE NARIÑO </t>
  </si>
  <si>
    <t>CAMILO ENRIQUEZ CASTRO PAREDES</t>
  </si>
  <si>
    <t>2020-11-18</t>
  </si>
  <si>
    <t xml:space="preserve">PRESTAR LOS SERVICIOS PROFESIONALES COMO ABOGADA PARA LA GESTION ADMINISTRATIVA EN MATERIA DE SEGURIDAD VIAL Y MOVILIDAD SOSTENIBLE ENMARCADOS EN EL PLAN DE ACCION 2020 DE LA SUBSECRETARIA DE TRANSITO Y TRANSPORTE DEPARTAMENTAL DE NARIÑO </t>
  </si>
  <si>
    <t>DIANA KATHERINE BELLO JAGUANDOY</t>
  </si>
  <si>
    <t>https://www.contratos.gov.co/consultas/detalleProceso.do?numConstancia=20-12-10799579</t>
  </si>
  <si>
    <t>GUIDO ALFREDO ARCOS BURBANO</t>
  </si>
  <si>
    <t xml:space="preserve">PRESTACION DE SERVICIOS PROFESIONALES DE ABOGADA PARA LA ASISTENCIA JURIDICA EN EL EJERCICIO DE LAS COMPETENCIAS LEGALES Y REGLAMENTARIAS QUE EL DEPARTAMENTO DE NARIÑO EJERCE A TRAVES DE LA SECRETARIA DE INFRAESTRUCTURA Y MINAS VIVIENDA PROCESOS DE CONTRATACION PUBLICA Y DE GESTION PREDIAL QUE DEBA ADELANTAR ESTA DEPENDENCIA </t>
  </si>
  <si>
    <t>MAYRA DANIELA PORTILLA BASTIDAS</t>
  </si>
  <si>
    <t>https://www.contratos.gov.co/consultas/detalleProceso.do?numConstancia=20-12-10799621</t>
  </si>
  <si>
    <t>PRESTACION DE SERVICIOS DE APOYO A LA GESTION COMO AUXILIAR JURIDICO DE LA OFICINA DE COBRO COACTIVO, COORDINADO POR LA TESORERIA GENERAL DEL DEPARTAMENTO DE NARIÑO, EN LA SUSTANCIACION E IMPULSO DE LOS PROCESO ADMINISTRATIVOS DE COBRO COACTIVO DE LA GOBERNACION DE NARIÑO, RESPECTO DE LA CARTERA MOROSA.</t>
  </si>
  <si>
    <t>RICHARD ESTEBAN AUX PORTILLA</t>
  </si>
  <si>
    <t>https://www.contratos.gov.co/consultas/detalleProceso.do?numConstancia=20-12-10819493</t>
  </si>
  <si>
    <t>https://www.contratos.gov.co/consultas/detalleProceso.do?numConstancia=20-12-10819429</t>
  </si>
  <si>
    <t>2020-07-29</t>
  </si>
  <si>
    <t xml:space="preserve">	EL CONTRATISTA SE COMPROMETE CON EL DEPARTAMENTO DE NARIÑO A PRESTAR POR SUS PROPIOS MEDIOS CON PLENA AUTONOMIA TECNICA Y ADMINISTRATIVA EL SERVICIO DE INTERPRETACION Y TRADUCCION DE LENGUA DE SEÑAS COLOMBIANA LSC PARA LA COMUNIDAD SORDA EN DIFERENTES EVENTOS REQUERIMIENTOS Y ALOCUCIONES DE LA GOBERNACION DE NARIÑO Y LA CAPACITACION EN LENGUA DE SEÑAS COLOMBIANAN LSC A SOLICITUD DE LA SECRETARIA DE EQUIDAD DE GENERO E INCLUSION SOCIAL DEL DEPARTAMENTO</t>
  </si>
  <si>
    <t>FUNDACION POR LA JUVENTUD SORDA JUVENSOR</t>
  </si>
  <si>
    <t>https://www.contratos.gov.co/consultas/detalleProceso.do?numConstancia=20-12-10640023</t>
  </si>
  <si>
    <t xml:space="preserve">EL CONTRATISTA SE COMPROMETE CON EL DEPARTAMENTO DE NARIÑO APRESTAR POR SUS PROPIOS MEDIOS CON PLENA AUTONOMIA TECNICA Y ADMISNITRATIVA EL SERVICIO DE INTERPRETACION Y TRADUCCION DE LENGUA DE SEÑAS COLOMBIANA LSC EN LA PAGINA WEB DEL GOBERNACION DE NARIÑO Y CAPACITAR EN LENGUA DE SEÑAS COLOMBIANA LSC PARA EL USO DELA STIC A PERSONAL INTERESADO A SOLICITUD DE LA SECRETARIA DE EQUIDAD DE GENERO </t>
  </si>
  <si>
    <t>ASOCIACION DE SORDOS DE NARIÑO ASORNAR</t>
  </si>
  <si>
    <t>https://www.contratos.gov.co/consultas/detalleProceso.do?numConstancia=20-12-10639983</t>
  </si>
  <si>
    <t>2020-06-26</t>
  </si>
  <si>
    <t>2020-07-07</t>
  </si>
  <si>
    <t xml:space="preserve">PRIMERA. - OBJETO DEL CONTRATO EL CONTRATISTA DEBE PRESTAR POR SUS PROPIOS MEDIOS CON PLENA AUTONOMíA TéCNICA LOS SERVICIOS COMO MONITOR (2) DEPORTIVO DE LA SELECCIóN NARIñO EN LA DISCIPLINA DE LUCHA PARA LA RAMA MASCULINA Y FEMENINA EN EL DEPARTAMENTO DE NARIñO EN ASUNTOS RELACIONADOS CON FOMENTO MASIFICACIóN Y PREPARACIóN DEPORTIVA DE ALTOS LOGROS Y ASí MISMO EN ASPECTOS DE CAPACITACIóN Y ORIENTACIóN DEPORTIVA PARA EL DESARROLLO DE LA DISCIPLINA DE LUCHA EN NARIñO </t>
  </si>
  <si>
    <t>JAIRO SIGIFREDO ERAZO BOLAÑOS</t>
  </si>
  <si>
    <t>https://www.contratos.gov.co/consultas/detalleProceso.do?numConstancia=20-12-10640297</t>
  </si>
  <si>
    <t xml:space="preserve">EL CONTRATISTA DEBE PRESTAR  POS SUS PROPIOS MEDIOS CON PLENA AUTONOMíA TéCNICA Y ADMINISTRATIVA LO SERVICIOS COMO MONITOR (2) DEPORTIVO DE LA SELECCIóN NARIñO EN LA DISCIPLINA DE FISICOCULTURISMO PARA LA RAMA MASCULINA Y FEMENINA EN ASUNTOS RELACIONADOS CON EL FOMENTO MASIFICACIóN Y PREPARACIóN DEPORTIVA DE ALTOS LOGROS Y ASI MISMO EN ASPECTOS DE CAPACITACIóN Y ORIENTACIóN DEPORTIVA DE LA LIGA DE FISICOCULTURIMSO DE NARIñO </t>
  </si>
  <si>
    <t>FAVIO JAIR ARANDA VELASQUEZ</t>
  </si>
  <si>
    <t>https://www.contratos.gov.co/consultas/detalleProceso.do?numConstancia=20-12-10640754</t>
  </si>
  <si>
    <t>EL CONTRATISTA DEBE PRESTAR POR SUS PROPIOS MEDIOS CON PLENA AUTONOMIA TECNICA LOS SERVICIOS COMO MONITOR 2 DEPORTIVO EN LA SELECCION NARIÑO EN LA DISCIPLINA DE LUCHA PARA LA RAMA MASCULINA Y FEMENINA EN EL DEPARTAMENTO DE NARIÑO, EN ASUNTOS RELACIONADOS CON FOMENTO, MASIFICACION Y PREPARACION DEPORTIVA DE ALTOS LOGROS Y ASI MISMO EN ASPECTOS DE CAPACITACION Y ORIENTACION DEPORTIVA PARA EL DESARROLLO DE LA DISCIPLINA DE LUCHA EN NARIÑO.</t>
  </si>
  <si>
    <t>JAIRO EDEBALDO ROMO MUÑOZ</t>
  </si>
  <si>
    <t>2020-05-07</t>
  </si>
  <si>
    <t>https://www.contratos.gov.co/consultas/detalleProceso.do?numConstancia=20-12-10840219</t>
  </si>
  <si>
    <t>LA CONTRATISTA DEBE PRESTAR POR SUS PROPIOS MEDIOS CON PLENA AUTONOMIA TECNICA LOS SERVICIOS COMO MONITOR 1 DEPORTIVO EN LA SELECCION NARIÑO EN LA DISCIPLINA DE KARATE DO MODALIDAD KATA PARA LA RAMA MASCULINA Y FEMENINA EN EL DEPARTAMENTO DE NARIÑO, EN ASUNTOS RELACIONADOS CON FOMENTO, MASIFICACION Y PREPARACION DEPORTIVA DE ALTOS LOGROS Y ASI MISMO EN ASPECTOS DE CAPACITACION Y ORIENTACION DEPORTIVA PARA LAS ACTIVIDADES DESARROLLADAS POR LA LIGA DE KARATE DO DE NARIÑO.</t>
  </si>
  <si>
    <t>KATHERINE JOHANNA PALACIOS LOAIZA</t>
  </si>
  <si>
    <t>https://www.contratos.gov.co/consultas/detalleProceso.do?numConstancia=20-12-10640272</t>
  </si>
  <si>
    <t>EL CONTRATISTA DEBE PRESTAR POR SUS PROPIOS MEDIOS CON PLENA AUTONOMIA TECNICA LOS SERVICIOS COMO MONITOR 2 DEPORTIVO DE LA SELECCION NARIÑO, EN LA DISCIPLINA DE BOXEO PARA LA RAMA MASCULINA Y FEMENINA EN EL DEPARTAMENTO DE NARIÑO, EN ASUNTOS RELACIONADOS CON FOMENTO, MASIFICACION Y PREPARACION DEPORTIVA DE ALTOS LOGROS Y ASI MISMO EN ASPECTOS DE CAPACITACION Y ORIENTACION DEPORTIVA PARA EL DESARROLLO DE LA DISCIPLINA DE BOXEO EN NARIÑO.</t>
  </si>
  <si>
    <t>ERNESTO VASQUEZ BATIOJA</t>
  </si>
  <si>
    <t>https://www.contratos.gov.co/consultas/detalleProceso.do?numConstancia=20-12-10639813</t>
  </si>
  <si>
    <t>2020-06-08</t>
  </si>
  <si>
    <t>2020-07-30</t>
  </si>
  <si>
    <t xml:space="preserve">Prestación de servicios profesionales para apoyar en la organización del esquema de seguridad del señor Gobernador del Departamento de Nariño. </t>
  </si>
  <si>
    <t>JOSÉ ERNESTO CORAL ROSERO</t>
  </si>
  <si>
    <t>https://www.contratos.gov.co/consultas/detalleProceso.do?numConstancia=20-12-10641009</t>
  </si>
  <si>
    <t>2020-05-22</t>
  </si>
  <si>
    <t>2020-07-06</t>
  </si>
  <si>
    <t>2020-08-06</t>
  </si>
  <si>
    <t xml:space="preserve">EL CONTRATISTA SE COMPROMETE A PRESTAR POR SUS PROPIOS MEDIOS Y CON PLENA AUTONOMíA, SUS SERVICIOS PROFESIONALES PARA REALIZAR EL APOYO A LA SUPERVISIóN DEL PROYECTO DENOMINADO “FORMACIÓN DEL TALENTO HUMANO DE ALTO NIVEL PARA EL FORTALECIMIENTO DE NECESIDADES ESTRATÉGICAS DEL DEPARTAMENTO DE NARIÑO NO. BPIN 2017000100028 ”CONFORME A LO DISPUESTO EN EL CONVENIO 1091-2018 CELEBRADO ENTRE EL DEPARTAMENTO DE NARIÑO Y CEIBA. </t>
  </si>
  <si>
    <t>RICARDO ANDRES CASTRO ORTEGA</t>
  </si>
  <si>
    <t>2020-09-07</t>
  </si>
  <si>
    <t>https://community.secop.gov.co/Public/Tendering/ContractNoticePhases/View?PPI=CO1.PPI.7519599&amp;isFromPublicArea=True&amp;isModal=False</t>
  </si>
  <si>
    <t>https://community.secop.gov.co/Public/Tendering/ContractNoticePhases/View?PPI=CO1.PPI.7523036&amp;isFromPublicArea=True&amp;isModal=False</t>
  </si>
  <si>
    <t xml:space="preserve">EL CONTRATISTA SE OBLIGA CON EL DEPARTAMENTO A PRESTAR SUS SERVICIOS PROFESIONALES COMO CONTADOR PúBLICO EN LA TESORERíA GENERAL DEL DEPARTAMENTO DE NARIñO, LO ANTERIOR DE CONFORMIDAD CON LOS DOCUMENTOS DEL PROCESO, QUE HACEN PARTE INTEGRAL DEL CONTRATO. </t>
  </si>
  <si>
    <t>https://community.secop.gov.co/Public/Tendering/ContractNoticePhases/View?PPI=CO1.PPI.7549368&amp;isFromPublicArea=True&amp;isModal=False</t>
  </si>
  <si>
    <t>EL CONTRATISTA SE OBLIGA CON EL DEPARTAMENTO A PRESTAR SUS SERVICIOS COMO APOYO A LA GESTIÓN EN LA SUBSECRETARIA DE TALENTO HUMANO, PARA EL SEGUIMIENTO DE LA INFORMACIÓN DEL FONDO DOCUMENTAL DEL PASIVO PENSIONAL (PASIVOCOL) LO ANTERIOR DE CONFORMIDAD CON LOS DOCUMENTOS DEL PROCESO, QUE HACEN PARTE INTEGRAL DEL CONTRATO.</t>
  </si>
  <si>
    <t>EDWARD  JIMMY CADENA FIGUEROA</t>
  </si>
  <si>
    <t>https://community.secop.gov.co/Public/Tendering/ContractNoticePhases/View?PPI=CO1.PPI.7707711&amp;isFromPublicArea=True&amp;isModal=False</t>
  </si>
  <si>
    <t>2020-11-14</t>
  </si>
  <si>
    <t xml:space="preserve">LA CONTRATISTA DEBE PRESTAR POR SUS PROPIOS MEDIOS, CON PLENA AUTONOMíA TéCNICA, LOS SERVICIOS DE APOYO A LA GESTIóN PARA REALIZAR EL APOYO A LA SUPERVISIóN DEL CONVENIO ESPECIAL DE COOPERACIóN NO. 2561-17, CELEBRADO ENTRE EL DEPARTAMENTO ADMINISTRATIVO DE CIENCIA, TECNOLOGíA E INNOVACIóN COLCIENCIAS (MIN CIENCIAS), EL DEPARTAMENTO DE NARIñO Y LA FIDUCIARIA LA PREVISORA S.A., VOCERA DEL PATRIMONIO AUTóNOMO FONDO NACIONAL DE FINANCIAMIENTO PARA LA CIENCIA, LA TECNOLOGíA Y LA INNOVACIóN “FRANCISCO JOSé DE CALDAS”, CUYO OBJETO ES: AUNAR ESFUERZOS, CAPACIDADES Y COMPETENCIAS PARA EJECUTAR EL PROYECTO “IMPLEMENTACIÓN DE UN SISTEMA DE GESTIÓN DE INNOVACIÓN PARA LA INDUSTRIA DE NARIÑO, INNOVACIÓN MÁS PAÍS NARIÑO” </t>
  </si>
  <si>
    <t>ANGELA LIZETH MUÑOZ OBONAGA</t>
  </si>
  <si>
    <t>https://community.secop.gov.co/Public/Tendering/ContractNoticePhases/View?PPI=CO1.PPI.7816919&amp;isFromPublicArea=True&amp;isModal=False</t>
  </si>
  <si>
    <t xml:space="preserve">EL CONTRATISTA SE OBLIGA PARA CON EL DEPARTAMENTO A PRESTAR POR SUS PROPIOS MEDIOS, CON PLENA AUTONOMÍA TÉCNICA Y ADMINISTRATIVA LOS SERVICIOS DE APOYO A LA GESTIÓN COMO TECNÓLOGO EN ANÁLISIS Y DESARROLLO DE SISTEMAS DE INFORMACIÓN PARA EL LEVANTAMIENTO DE REQUERIMIENTOS NECESARIOS EN LOS EQUIPOS DE CÓMPUTO DE LA GOBERNACIÓN DE NARIÑO. LO ANTERIOR DE CONFORMIDAD CON LOS DOCUMENTOS QUE HACEN PARTE INTEGRAL DEL CONTRATO. EN EL MOMENTO EN QUE SE CUENTE CON LAS CORRECCIONES Y/O DOCUMENTOS FALTANTES, ESTOS DEBEN INCLUIRSE EN EL ORDEN QUE CORRESPONDE SEGÚN LA LISTA DE CHEQUEO DENTRO DEL PDF INICIALMENTE ENVIADO Y REMITIRLO NUEVAMENTE A ÉSTE CORREO.     </t>
  </si>
  <si>
    <t>IVAN EDMUNDO MONTENEGRO BENAVIDES</t>
  </si>
  <si>
    <t>2020-06-25</t>
  </si>
  <si>
    <t>[{"fecha_suscripcion'":"2020-06-08","fecha_legalizacion":"2020-06-25","tipo Adicion":"otra","valor":"0","tiempo":"otra-"}]</t>
  </si>
  <si>
    <t>https://community.secop.gov.co/Public/Tendering/ContractNoticePhases/View?PPI=CO1.PPI.7818840&amp;isFromPublicArea=True&amp;isModal=False</t>
  </si>
  <si>
    <t xml:space="preserve">LA CONTRATISTA SE OBLIGA CON EL DEPARTAMENTO A PRESTAR SUS SERVICIOS  COMO APOYO A LA GESTIÓN EN LA SUBSECRETARIA DE TALENTO HUMANO, PARA EL MANEJO DE LOS SISTEMAS; DE LA INFORMACIÓN PENSIONAL (PASIVOCOL), EL SISTEMA DE GESTIÓN DE EMPLEO PÚBLICO – SIGEP, Y LAS AFILIACIONES  ADMINISTRADORA DE RIESGOS LABORALES ARL, LO ANTERIOR DE CONFORMIDAD CON LOS DOCUMENTOS DEL PROCESO, QUE HACEN PARTE INTEGRAL DEL CONTRATO. </t>
  </si>
  <si>
    <t>https://community.secop.gov.co/Public/Tendering/ContractNoticeManagement/Index?currentLanguage=es-CO&amp;Page=login&amp;Country=CO&amp;SkinName=CCE</t>
  </si>
  <si>
    <t xml:space="preserve">EL CONTRATISTA SE COMPROMETE CON LA GOBERNACIóN DE NARIñO, A PRESTAR SUS SERVICIOS COMO APOYO A LA GESTIóN EN LA OFICINA DE COOPERACIóN INTERNACIONAL PARA APOYAR LA CONSTRUCCIóN Y EJECUCIóN DE LA ESTRATEGIA DE COOPERACIóN INTERNACIONAL, DENTRO DEL PROYECTO FORTALECIMIENTO DE LA ESTRATEGIA DE COOPERACION INTERNACIONAL EN EL DEPARTAMENTO DE NARIÑO. </t>
  </si>
  <si>
    <t>JORGE ALEXANDER ARCOS BURNANO</t>
  </si>
  <si>
    <t>2020-11-21</t>
  </si>
  <si>
    <t>https://community.secop.gov.co/Public/Tendering/ContractNoticePhases/View?PPI=CO1.PPI.7888224&amp;isFromPublicArea=True&amp;isModal=False</t>
  </si>
  <si>
    <t xml:space="preserve">LA CONTRATISTA SE OBLIGA CON EL DEPARTAMENTO A PRESTAR SUS SERVICIOS PROFESIONALES COMO ABOGADA, APOYANDO AL DESPACHO DEL GOBERNADOR DE NARIñO, EN LA EJECUCIóN DE TODAS LAS ACTIVIDADES JURíDICAS QUE DEBAN SER ATENDIDAS EN DICHA DEPENDENCIA. LO ANTERIOR DE CONFORMIDAD CON LOS DOCUMENTOS DEL PROCESO, QUE HACEN PARTE INTEGRAL DEL CONTRATO. </t>
  </si>
  <si>
    <t>MIRYAN MERCEDES PAZ SOLARTE</t>
  </si>
  <si>
    <t>https://community.secop.gov.co/Public/Tendering/OpportunityDetail/Index?noticeUID=CO1.NTC.1257971&amp;isFromPublicArea=True&amp;isModal=False</t>
  </si>
  <si>
    <t>IVAN DARIO DIAZ LOPEZ</t>
  </si>
  <si>
    <t>https://community.secop.gov.co/Public/Tendering/ContractNoticePhases/View?PPI=CO1.PPI.7890767&amp;isFromPublicArea=True&amp;isModal=False</t>
  </si>
  <si>
    <t xml:space="preserve">LA CONTRATISTA SE OBLIGA A PRESTAR SUS SERVICIOS PROFESIONALES EN
SEGURIDAD Y SALUD EN EL TRABAJO, CON LICENCIA DE SALUD OCUPACIONAL VIGENTE. BRINDANDO APOYO Y ACOMPAñAMIENTO PARA LA ACTUALIZACIóN, IMPLEMENTACIóN Y DESARROLLO DEL SISTEMA DE GESTIóN DE LA SEGURIDAD Y SALUD EN EL TRABAJO,
BAJO LA NORMATIVIDAD VIGENTE SOBRE LA MATERIA, CON EL FIN DE BRINDAR Y MEJORAR LAS CONDICIONES FíSICAS, MENTALES Y SOCIALES DE TRABAJO DE LOS FUNCIONARIOS DE LA GOBERNACIóN DE NARIñO. </t>
  </si>
  <si>
    <t>SARA CATALINA VIVEROS</t>
  </si>
  <si>
    <t>https://community.secop.gov.co/Public/Tendering/ContractNoticePhases/View?PPI=CO1.PPI.8116148&amp;isFromPublicArea=True&amp;isModal=False</t>
  </si>
  <si>
    <t>LA CONTRATISTA SE OBLIGA CON EL DEPARTAMENTO A PRESTAR SUS SERVICIOS DE APOYO A LA GESTION EN LA SUBSECRETARIA DE RENTAS DEL DEPARTAMENTO, COADYUVANDO EN EL PROCESO DE CONTROL DE CALIDAD DE LA ACTIVIDAD DE ESTAMPILLADO EN LOS LICORES PROPIEDAD DEL DEPARTAMENTO DE NARIÑO, DE ACUERDO A LOS REQUERIMIENTO REALIZADOS POR EL SUPERVISOR DEL CONTRATO.</t>
  </si>
  <si>
    <t>MARY ISABEL LAGOS ERASO</t>
  </si>
  <si>
    <t>https://community.secop.gov.co/Public/Tendering/ContractNoticePhases/View?PPI=CO1.PPI.8204190&amp;isFromPublicArea=True&amp;isModal=False</t>
  </si>
  <si>
    <t xml:space="preserve">PRESTACIóN DE SERVICIOS PROFESIONALES COMO INGENIERA AMBIENTAL EN LA SECRETARíA DE AMBIENTE Y DESARROLLO SOSTENIBLE DEL DEPARTAMENTO DE NARIñO, PARA COADYUVAR EN LA COORDINACIóN DEL COMPONENTE DE FORTALECIMIENTO DE LA CULTURA AMBIENTAL PARA EL MANEJO Y USO SOSTENIBLE DE LOS RECURSOS NATURALES Y LOS SERVICIOS ECO-SISTéMICOS. </t>
  </si>
  <si>
    <t>LEIDYS PAOLA PESTANA DIAZ</t>
  </si>
  <si>
    <t>2020-12-05</t>
  </si>
  <si>
    <t>https://community.secop.gov.co/Public/Tendering/ContractNoticePhases/View?PPI=CO1.PPI.8204192&amp;isFromPublicArea=True&amp;isModal=False</t>
  </si>
  <si>
    <t xml:space="preserve">PRESTACION DE SERVICIOS DE APOYO A LA GESTION CON EL FIN DE APOYAR EN LA SUPERVISION, SEGUIMIENTO, MONITOREO Y CONTROL DEL PROGRAMA DE ALIMENTACION ESCOLAR – PAE. </t>
  </si>
  <si>
    <t>CHRISTIAN ALEXANDER NASAMUEZ QUINTERO</t>
  </si>
  <si>
    <t>https://community.secop.gov.co/Public/Tendering/ContractNoticePhases/View?PPI=CO1.PPI.8221770&amp;isFromPublicArea=True&amp;isModal=False</t>
  </si>
  <si>
    <t>PRESTACION DE SERVICIOS DE APOYO A LA GESTION CON EL FIN DE APOYAR EN LA SUPERVISION, SEGUIMIENTO, MONITOREO Y CONTROL DEL PROGRAMA DE ALIMENTACION ESCOLAR – PAE.</t>
  </si>
  <si>
    <t>DAVID FABIAN INSUASTY NARVAEZ</t>
  </si>
  <si>
    <t>https://community.secop.gov.co/Public/Tendering/ContractNoticePhases/View?PPI=CO1.PPI.8223115&amp;isFromPublicArea=True&amp;isModal=False</t>
  </si>
  <si>
    <t xml:space="preserve">PRESTACION DE SERVICIOS DE APOYO A LA GESTION CON EL FIN DE APOYAR EN LA SUPERVISION, SEGUIMIENTO, MONITOREO Y CONTROL DEL PROGRAMA DE ALIMENTACION ESCOLAR – PAE.  </t>
  </si>
  <si>
    <t>LAURA SOFIA LOPEZ CANCHALA</t>
  </si>
  <si>
    <t>2020-08-14</t>
  </si>
  <si>
    <t>https://community.secop.gov.co/Public/Tendering/ContractNoticePhases/View?PPI=CO1.PPI.8223199&amp;isFromPublicArea=True&amp;isModal=False</t>
  </si>
  <si>
    <t>YOLIMA ANDREA BOLAÑOS VALENCIA</t>
  </si>
  <si>
    <t>https://community.secop.gov.co/Public/Tendering/ContractNoticePhases/View?PPI=CO1.PPI.8223625&amp;isFromPublicArea=True&amp;isModal=False</t>
  </si>
  <si>
    <t xml:space="preserve">EL CONTRATISTA SE OBLIGA CON EL DEPARTAMENTO A PRESTAR SUS SERVICIOS INTEGRALES DE ASEO, CAFETERIA Y OFICIOS VARIOS EN LAS INSTALACIONES UBICADAS EN LA CARRERA 13ª NO. 10-53 DEL MUNICIPIO DE PASTO, DONDE FUNCIONA LA BODEGA Y LAS OFICINAS DE AGUARDIENTE NARIÑO, CON EL FIN DE CONSERVAR Y MANTENER UN BUEN ESTADO DE SUS INSTALACIONES. LO ANTERIOR DE CONFORMIDAD CON LOS DOCUMENTOS DEL PROCESO, QUE HACEN PARTE INTEGRAL DEL ESTUDIO.   </t>
  </si>
  <si>
    <t>GLORIA ISABEL SANTANDER ANDRADE</t>
  </si>
  <si>
    <t>2020-07-17</t>
  </si>
  <si>
    <t>https://community.secop.gov.co/Public/Tendering/ContractNoticePhases/View?PPI=CO1.PPI.8223598&amp;isFromPublicArea=True&amp;isModal=False</t>
  </si>
  <si>
    <t>EL CONTRATISTA, SE COMPROMETE PARA CON EL DEPARTAMENTO A PRESTAR, POR SUS PROPIOS MEDIOS, CON PLENA AUTONOMIA TECNICA Y ADMINISTRATIVA, SUS SERVICIOS PROFESIONALES COMO INGENIERA DE SANEAMIENTO Y DESARROLLO AMBIENTAL PARA EL APOYO EN EL SEGUIMIENTO DE LOS PROYECTOS CON IMPOSICION DE MEDIDAS DEL SMSCE DEL DEPARTAMENTO NACIONAL DE PLANEACION, FINANCIADOS CON RECURSOS DE SISTEMA GENERAL DE REGALIAS SGR, PARA EL DEPARTAMENTO DE NARIÑO. LO ANTERIOR DE CONFORMIDAD CON LOS DOCUMENTOS DEL PROCESO, QUE HACEN PARTE INTEGRAL DEL CONTRATO.</t>
  </si>
  <si>
    <t>https://community.secop.gov.co/Public/Tendering/ContractNoticePhases/View?PPI=CO1.PPI.8222541&amp;isFromPublicArea=True&amp;isModal=False</t>
  </si>
  <si>
    <t xml:space="preserve">EL CONTRATISTA, SE COMPROMETE PARA CON EL DEPARTAMENTO A PRESTAR, POR SUS PROPIOS MEDIOS, CON PLENA AUTONOMíA TéCNICA Y ADMINISTRATIVA, SUS SERVICIOS PROFESIONALES EN EL SEGUIMIENTO, CONTROL Y EVALUACIóN A LOS REPORTES GENERADOS POR LA HERRAMIENTA “SISTEMA DE MONITOREO, SEGUIMIENTO, CONTROL Y EVALUACIóN” – SMSCE – DEL SISTEMA GENERAL DE REGALíAS – SGR , DE LOS PROYECTOS DEL DEPARTAMENTO DE NARIñO APROBADOS POR EL ÓRGANO COLEGIADO DE ADMINISTRACIóN Y DECISIóN – OCAD -  DE LA REGIóN PACIFICO. LO ANTERIOR DE CONFORMIDAD CON LOS DOCUMENTOS DEL PROCESO, QUE HACEN PARTE INTEGRAL DEL CONTRATO. </t>
  </si>
  <si>
    <t>NANCY YORLENY LASSO DELGADO</t>
  </si>
  <si>
    <t>2020-06-12</t>
  </si>
  <si>
    <t>https://community.secop.gov.co/Public/Tendering/ContractNoticePhases/View?PPI=CO1.PPI.8223619&amp;isFromPublicArea=True&amp;isModal=False</t>
  </si>
  <si>
    <t xml:space="preserve">EL CONTRATISTA SE OBLIGA CON EL DEPARTAMENTO A LA PRESTACIóN DE SUS SERVICIOS PERSONALES Y DE APOYO EN LA GESTIóN EN EL ANáLISIS DE PROCESOS, DESARROLLO, IMPLEMENTACIóN, DOCUMENTACIóN Y PRUEBAS DE SOFTWARE QUE SE DESARROLLEN EN CUMPLIMIENTO DE LAS METAS DE LA SECRETARíA TIC, INNOVACIóN Y GOBIERNO ABIERTO. LO ANTERIOR DE CONFORMIDAD CON LOS DOCUMENTOS DEL PROCESO QUE HACEN PARTE INTEGRAL DEL CONTRATO. </t>
  </si>
  <si>
    <t>GERMAN DAVID RUIZ FIGUEROA</t>
  </si>
  <si>
    <t>2020-08-26</t>
  </si>
  <si>
    <t>2020-11-08</t>
  </si>
  <si>
    <t>https://community.secop.gov.co/Public/Tendering/ContractNoticePhases/View?PPI=CO1.PPI.8266021&amp;isFromPublicArea=True&amp;isModal=False</t>
  </si>
  <si>
    <t xml:space="preserve">	LA CONTRATISTA SE OBLIGA A PRESTAR SUS SERVICIOS DE APOYO A LA GESTION, BRINDANDO APOYO Y ACOMPAÑAMIENTO PARA LA ACTUALIZACION, IMPLEMENTACION Y DESARROLLO DEL SISTEMA DE GESTION DE LA SEGURIDAD Y SALUD EN EL TRABAJO, BAJO LA NORMATIVIDAD VIGENTE SOBRE LA MATERIA, CON EL FIN DE BRINDAR Y MEJORAR LAS CONDICIONES FISICAS, MENTALES Y SOCIALES DE TRABAJO DE LOS FUNCIONARIOS DE LA GOBERNACION DE NARIÑO.</t>
  </si>
  <si>
    <t>NYLCE JHOANA TORRES SILVA</t>
  </si>
  <si>
    <t>2020-12-10</t>
  </si>
  <si>
    <t>https://community.secop.gov.co/Public/Tendering/OpportunityDetail/Index?noticeUID=CO1.NTC.1288390&amp;isFromPublicArea=True&amp;isModal=False</t>
  </si>
  <si>
    <t>EL CONTRATISTA SE OBLIGA CON EL DEPARTAMENTO A PRESTAR SUS SERVICIOS PROFESIONALES COMO ABOGADO A, DE MANERA AUTONOMA E INDEPENDIENTE, PARA APOYAR EN LOS TRAMITES, PROCESOS Y DEMAS ASPECTOS JURIDICOS QUE DEBAN SER ATENDIDOS POR LA SECRETARIA DE HACIENDA Y LA OFICINA DE CONTADURIA GENERAL DEL DEPARTAMENTO.</t>
  </si>
  <si>
    <t>SANDRA LILIANA GOMEZ TULCAN</t>
  </si>
  <si>
    <t>https://community.secop.gov.co/Public/Tendering/ContractNoticePhases/View?PPI=CO1.PPI.8387756&amp;isFromPublicArea=True&amp;isModal=False</t>
  </si>
  <si>
    <t xml:space="preserve">LA CONTRATISTA SE OBLIGA A PRESTAR SUS SERVICIOS PROFESIONALES CON LICENCIA DE SALUD OCUPACIONAL VIGENTE BRINDANDO APOYO Y ACOMPAÑAMIENTO PARA LA ACTUALIZCION IMPLMENTACION Y DESARROLLO DEL SISTEMA DE GESTION DE LA SEGURIDAD Y SALUD EN EL TRABAJO BAJO LA NORMATIVIDAD VIGENTE SOBRE LA MATERIA CON EL FIN DE BRINDAR Y MEJORAR LA S CONDICIONES FISICAS MENTALES Y SOCIALES DE TRABAJO DE LOS FUNCIONARIOS DE LA GOBENRACION DE NARIÑO </t>
  </si>
  <si>
    <t>LEIDA YANET CHAVES HOYOS</t>
  </si>
  <si>
    <t>2020-12-11</t>
  </si>
  <si>
    <t>https://community.secop.gov.co/Public/Tendering/OpportunityDetail/Index?noticeUID=CO1.NTC.1290631&amp;isFromPublicArea=True&amp;isModal=False</t>
  </si>
  <si>
    <t>EL CONTRATISTA SE OBLIGA CON EL DEPARTAMENTO A PRESTAR SUS SERVICIOS DE APOYO A LA GESTION EN LA SUBSECRETARIA DE RENTAS, CONSISTENTE EN REALIZAR EL ESTAMPILLADO DE LAS UNIDADES DE LICOR QUE COMERCIALIZA EL DEPARTAMENTO, DE ACUERDO A LOS REQUERIMIENTOS REALIZADOS POR EL SUPERVISOR DEL CONTRATO.</t>
  </si>
  <si>
    <t>ROCIO EVERLYN CANACUAN CHAPAL</t>
  </si>
  <si>
    <t>https://community.secop.gov.co/Public/Tendering/ContractNoticePhases/View?PPI=CO1.PPI.8518961&amp;isFromPublicArea=True&amp;isModal=False</t>
  </si>
  <si>
    <t>JOHNNY OSWALDO CHAMORRO PORTILLO</t>
  </si>
  <si>
    <t>2020-07-10</t>
  </si>
  <si>
    <t>https://community.secop.gov.co/Public/Tendering/ContractNoticePhases/View?PPI=CO1.PPI.8519581&amp;isFromPublicArea=True&amp;isModal=False</t>
  </si>
  <si>
    <t>ANGIE ALEJANDRA ALVEAR TOBAR</t>
  </si>
  <si>
    <t>https://community.secop.gov.co/Public/Tendering/ContractNoticePhases/View?PPI=CO1.PPI.8520947&amp;isFromPublicArea=True&amp;isModal=False</t>
  </si>
  <si>
    <t>EL CONTRATISTA SE COMPROMETE CON EL DEPARTAMENTO A PRESTAR LOS SERVICIOS PROFESIONALES COMO CONTADOR PUBLICO, QUE APOYE LA REVISION DE LOS ESTUDIOS DE CARACTER TECNICO Y DE MERCADO QUE SE PLANTEAN EN LA ETAPA PRE CONTRACTUAL POR PARTE DE LAS SECRETARIAS Y DEMAS DEPENDENCIAS DE LA GOBERNACION DE NARIÑO, EN LO ATINENTE A OBRAS CIVILES Y MATERIALES, EVALUANDO LA PERTINENCIA, OPORTUNIDAD Y RAZONABILIDAD PARA CADA PROYECTO.</t>
  </si>
  <si>
    <t>ANGELA JACQUELINNE RIVERA OJEDA</t>
  </si>
  <si>
    <t>https://community.secop.gov.co/Public/Tendering/ContractNoticePhases/View?PPI=CO1.PPI.8631236&amp;isFromPublicArea=True&amp;isModal=False</t>
  </si>
  <si>
    <t xml:space="preserve">	EL CONTRATISTA SE COMPROMETE CON EL DEPARTAMENTO A PRESTAR LOS SERVICIOS PROFESIONALES COMO INGENIERA CIVIL, QUE APOYE LA REVISION DE LOS ESTUDIOS DE CARACTER TECNICO Y DE MERCADO QUE SE PLANTEAN EN LA ETAPA PRE CONTRACTUAL POR PARTE DE LAS SECRETARIAS DE LA GOBERNACION DE NARIÑO, EN LO ATINENTE A OBRAS CIVILES Y MATERIALES, EVALUANDO LA PERTINENCIA, OPORTUNIDAD Y RAZONABILIDAD PARA CADA PROYECTO.</t>
  </si>
  <si>
    <t>YANETH LORENA CHAVEZ MENDEZ</t>
  </si>
  <si>
    <t>https://community.secop.gov.co/Public/Tendering/ContractNoticePhases/View?PPI=CO1.PPI.8632076&amp;isFromPublicArea=True&amp;isModal=False</t>
  </si>
  <si>
    <t>EL CONTRATISTA SE COMPROMETE CON EL DEPARTAMENTO A PRESTAR LOS SERVICIOS PROFESIONALES COMO INGENIERO DE SISTEMAS, QUE APOYE LA REVISIÓN DE LOS ESTUDIOS DE CARÁCTER TÉCNICO Y DE MERCADO QUE SE PLANTEAN EN LA ETAPA PRE CONTRACTUAL POR PARTE DE LAS SECRETARÍAS DE LA GOBERNACIÓN DE NARIÑO. CONSULTA DE LOS DIFERENTES SISTEMAS, PLATAFORMAS Y HERRAMIENTAS INFORMÁTICAS QUE CONTRIBUYAN A LA PROYECCIÓN DE LOS ESTUDIOS PREVIOS DEFINITIVOS. ADICIONALMENTE, SE BRINDARÁ APOYO EN LA REVISIÓN DEL COMPONENTE TÉCNICO DE LOS PROYECTOS QUE LLEVEN INMERSO UN COMPONENTE DE SISTEMAS INFORMÁTICOS, EVALUANDO LA OPORTUNIDAD, RAZONABILIDAD Y CONVENIENCIA DE CADA PROYECTO.</t>
  </si>
  <si>
    <t>MARLON ANDRES RIVERA ACOSTA</t>
  </si>
  <si>
    <t>https://community.secop.gov.co/Public/Tendering/ContractNoticePhases/View?PPI=CO1.PPI.8633351&amp;isFromPublicArea=True&amp;isModal=False</t>
  </si>
  <si>
    <t xml:space="preserve">EL CONTRATISTA SE OBLIGA CON EL DEPARTAMENTO A PRESTAR SUS SERVICIOS DE APOYO A LA GESTIÓN PARA LA CONSERVACIÓN  DE LAS INSTALACIONES DEL ESTADIO DEPARTAMENTAL LIBERTAD. </t>
  </si>
  <si>
    <t>MAURICIO OCTAVIO OCAÑA OCAÑA</t>
  </si>
  <si>
    <t>2020-09-24</t>
  </si>
  <si>
    <t>https://community.secop.gov.co/Public/Tendering/ContractNoticePhases/View?PPI=CO1.PPI.8632800&amp;isFromPublicArea=True&amp;isModal=False</t>
  </si>
  <si>
    <t xml:space="preserve">EL CONTRATISTA SE OBLIGA CON EL DEPARTAMENTO A PRESTAR SUS SERVICIOS DE APOYO A LA GESTION PARA LA CONSERVACION  DE LAS INSTALACIONES DEL ESTADIO DEPARTAMENTAL LIBERTAD. </t>
  </si>
  <si>
    <t>CARLOS ALBERTO MOLINA BRAVO</t>
  </si>
  <si>
    <t>2020-08-25</t>
  </si>
  <si>
    <t>https://community.secop.gov.co/Public/Tendering/ContractNoticePhases/View?PPI=CO1.PPI.8632195&amp;isFromPublicArea=True&amp;isModal=False</t>
  </si>
  <si>
    <t xml:space="preserve">PRESTACION DE SERVICIOS PROFESIONALES DE APOYO PEDAGOGICO A LOS ESTUDIANTES QUE ENCUENTRAN BARRERAS EN EL APRENDIZAJE Y LA PARTICIPACION MATRICULADOS EN LOS ESTABLECIMIENTOS EDUCATIVOS DE LOS MUNICIPIOS NO CERTIFICADOS DEL DEPARTAMENTO DE NARIñO.  </t>
  </si>
  <si>
    <t>FRANCISCA CAROLINA SANCHEZ MORENO</t>
  </si>
  <si>
    <t xml:space="preserve">PRESTACION DE SERVICIOS PROFESIONALES DE APOYO PEDAGOGICO A LOS ESTUDIANTES QUE ENCUENTRAN BARRERAS EN EL APRENDIZAJE Y LA PARTICIPACION MATRICULADOS EN LOS ESTABLECIMIENTOS EDUCATIVOS DE LOS MUNICIPIOS NO CERTIFICADOS DEL DEPARTAMENTO DE NARIÑO.  </t>
  </si>
  <si>
    <t>MAIBELY GISSEL CARDENAS LEGARDA</t>
  </si>
  <si>
    <t>2020-08-20</t>
  </si>
  <si>
    <t xml:space="preserve">EL CONTRATISTA SE COMPROMETE CON EL DEPARTAMENTO DE NARIñO A PRESTAR CON SUS PROPIOS MEDIOS CON PLENA AUTONOMíA TéCNICA Y ADMINISTRATIVA, SUS SERVICIOS PROFESIONALES COMO APOYO EN LA SUPERVISIóN, TéCNICA, ADMINISTRATIVA Y FINANCIERA DEL PROYECTO FORTALECIMIENTO DEL SISTEMA DEPARTAMENTAL DE COMPETITIVIDAD CIENCIA TECNOLOGÍA E INNOVACIÓN EN EL DEPARTAMENTO DE NARIÑO. LO ANTERIOR DE CONFORMIDAD CON LOS DOCUMENTOS DEL PROCESO, QUE HACEN PARTE INTEGRAL DEL CONTRATO. </t>
  </si>
  <si>
    <t>ANDRES FELIPE GUERRERO ALBORNOZ</t>
  </si>
  <si>
    <t xml:space="preserve">https://community.secop.gov.co/Public/Tendering/ContractNoticePhases/View?PPI=CO1.PPI.8712866&amp;isFromPublicArea=True&amp;isModal=False </t>
  </si>
  <si>
    <t>2020-07-22</t>
  </si>
  <si>
    <t xml:space="preserve">PRESTACION DE SERVICIOS PROFESIONALES PARA APOYAR EN LA SUPERVISION, SEGUIMIENTO Y CONTROL DE LOS PROYECTOS, CONTRATOS Y CONVENIOS QUE CELEBRE EL DEPARTAMENTO Y CUYA SUPERVISION ESTE A CARGO DE FUNCIONARIOS DE LA SECRETARIA DE EDUCACION. </t>
  </si>
  <si>
    <t>VIVIANA LUCIA PORTILLA BENAVIDES</t>
  </si>
  <si>
    <t>2020-08-13</t>
  </si>
  <si>
    <t xml:space="preserve">PRESTACION DE SERVICIOS PROFESIONALES PARA BRINDAR APOYO EN EL COMPONENTE PEDAGOGICO EN LOS DIFERENTES PROYECTOS QUE ADELANTE LA SECRETARIA DE EDUCACION EN BUSQUEDA DE MEJORAR LA CALIDAD EDUCATIVA DE LOS ESTABLECIMIENTOS EDUCATIVOS DE LOS MUNICIPIOS NO CERTIFICADOS DEL DEPARTAMENTO DE NARIÑO. </t>
  </si>
  <si>
    <t>JHON FREDY ZAMBRANO ERASO</t>
  </si>
  <si>
    <t>PRESTACION DE SERVICIOS PROFESIONALES COMO ABOGADA, PARA LA ASISTENCIA JURIDICA EN EL EJERCICIO DE LAS COMPETENCIAS LEGALES Y REGLAMENTARIAS QUE EL DEPARTAMENTO DE NARIÑO EJERCE A TRAVES DE LA SECRETARIA DE INFRAESTRUCTURA Y MINAS EN MATERIA DE INFRAESTRUCTURA, MINAS, VIVIENDA, PROCESOS DE CONTRATACION PUBLICA Y DE GESTION PREDIAL, QUE DEBA ADELANTAR ESTA DEPENDENCIA.</t>
  </si>
  <si>
    <t>https://community.secop.gov.co/Public/Tendering/ContractNoticePhases/View?PPI=CO1.PPI.8821944&amp;isFromPublicArea=True&amp;isModal=False</t>
  </si>
  <si>
    <t>ELSY CATALINA FALLECO RODRIGUEZ</t>
  </si>
  <si>
    <t>2020-07-24</t>
  </si>
  <si>
    <t>https://community.secop.gov.co/Public/Tendering/ContractNoticePhases/View?PPI=CO1.PPI.8825028&amp;isFromPublicArea=True&amp;isModal=False</t>
  </si>
  <si>
    <t xml:space="preserve">PRESTACIóN DE SERVICIOS PROFESIONALES COMO ABOGADA, PARA COADYUVAR JURíDICAMENTE EN TRáMITES Y PROCESOS EN LA SECRETARIA DE AMBIENTE Y DESARROLLO SOSTENIBLE DEL DEPARTAMENTO DE NARIñO. </t>
  </si>
  <si>
    <t>ANA LIZETTE LOPEZ DELGADO</t>
  </si>
  <si>
    <t>https://community.secop.gov.co/Public/Tendering/ContractNoticePhases/View?PPI=CO1.PPI.8827199&amp;isFromPublicArea=True&amp;isModal=False</t>
  </si>
  <si>
    <t xml:space="preserve">PRESTACION DE LOS SERVICIOS PROFESIONALES COMO ABOGADO PARA APOYAR LA GESTION QUE ADELANTA LA SUBSECRETARIA ADMINISTRATIVA Y FINANCIERA DE LA SECRETARIA DE EDUCACION. </t>
  </si>
  <si>
    <t>2020-08-12</t>
  </si>
  <si>
    <t>2020-10-31</t>
  </si>
  <si>
    <t xml:space="preserve">PRESTACION DE SERVICIOS PERSONALES COMO APOYO A LA GESTION DE LA INSPECCION Y VIGILANCIA DE LA SECRETARIA DE EDUCACION DEPARTAMENTAL DE NARIÑO. </t>
  </si>
  <si>
    <t xml:space="preserve">PRESTACION DE LOS SERVICIOS PROFESIONALES PARA APOYAR LA GESTION DE LA SUBSECRETARIA ADMINISTRATIVA Y FINANCIERA EN LO REFERENTE A PRESTACIONES SOCIALES DE LA SECRETARIA DE EDUCACION DEPARTAMENTAL DE NARIÑO. </t>
  </si>
  <si>
    <t xml:space="preserve">PRESTACIóN DE LOS SERVICIOS PROFESIONALES COMO INGENIERO CIVIL EN LA SECRETARíA DE EDUCACIóN DEL DEPARTAMENTO, PARA APOYAR EN LO REFERENTE A INFRAESTRUCTURA EDUCATIVA DE LOS MUNICIPIOS NO CERTIFICADOS DEL DEPARTAMENTO DE NARIñO. </t>
  </si>
  <si>
    <t xml:space="preserve">PRESTACIóN DE LOS SERVICIOS PROFESIONALES COMO INGENIERO CIVIL EN LA SECRETARíA DE EDUCACIóN DEL DEPARTAMENTO, PARA APOYAR EN LAS EMERGENCIAS EDUCATIVAS QUE SE PRESENTEN EN LOS ESTABLECIMIENTOS EDUCATIVOS DE LOS MUNICIPIOS NO CERTIFICADOS DEL DEPARTAMENTO DE NARIñO. </t>
  </si>
  <si>
    <t xml:space="preserve">PRESTACIóN DE LOS SERVICIOS PROFESIONALES COMO PROFESIONALES ABOGADO PARA APOYAR LA GESTIóN DE LA SECRETARíA DE EDUCACIóN. </t>
  </si>
  <si>
    <t xml:space="preserve">PRESTACIóN DE LOS SERVICIOS PROFESIONALES COMO ABOGADO PARA APOYAR LA GESTIóN DE RECURSOS HUMANOS DE LA SUBSECRETARíA ADMINISTRATIVA Y FINANCIERA DE LA SECRETARíA DE EDUCACIóN DE NARIñO. </t>
  </si>
  <si>
    <t>2020-08-18</t>
  </si>
  <si>
    <t xml:space="preserve">PRESTACIóN DE SERVICIOS PERSONALES DE APOYO A LA GESTIóN PARA CONDUCIR LOS VEHíCULOS DE LA SECRETARíA DE EDUCACIóN CUANDO SE REQUIERA EL TRANSPORTE DE LOS FUNCIONARIOS A LAS INSTITUCIONES EDUCATIVAS DEL DEPARTAMENTO Y A LOS DISTINTOS DESPLAZAMIENTOS OFICIALES QUE EN CUMPLIMIENTO DE SU MISIóN HAYA QUE REALIZAR. </t>
  </si>
  <si>
    <t xml:space="preserve">PRESTACIóN DE LOS SERVICIOS PROFESIONALES PARA APOYAR EL PROCESO DE NóMINA QUE REALIZA LA SECRETARíA DE EDUCACIóN DEL DEPARTAMENTO </t>
  </si>
  <si>
    <t xml:space="preserve">PRESTAR SERVICIOS DE APOYO A LA GESTION BRINDANDO ACOMPAñAMIENTO EN TODAS LAS ACTIVIDADES DE COMUNICACION Y DISEñO GRAFICO EN EL MARCO DEL PROYECTO CENTRO DE INNOVACION SOCIAL DE NARIñO CISNA Y EN LO QUE DEMANDE LA SUBSECRETARIA DE INNOVACION. LO ANTERIOR DE CONFORMIDAD CON LOS DOCUMENTOS DEL PROCESO, QUE HACEN PARTE INTEGRAL DEL CONTRATO. </t>
  </si>
  <si>
    <t xml:space="preserve">EL CONTRATISTA SE OBLIGA CON EL DEPARTAMENTO A PRESTAR SUS SERVICIOS PROFESIONALES, CON CAPACIDAD DE ANáLISIS Y GESTIóN EN TéRMINOS ORGANIZACIONALES, ADMINISTRATIVOS Y FINANCIEROS, SEGUIMIENTO Y EVALUACIóN DE POLíTICAS PúBLICAS GENERADAS EN EL DESPACHO. DE CONFORMIDAD CON LOS DOCUMENTOS DEL PROCESO QUE HACEN PARTE INTEGRAL DEL CONTRATO. </t>
  </si>
  <si>
    <t>2020-07-23</t>
  </si>
  <si>
    <t>PRESTACION DE SERVICIOS PROFESIONALES REALIZANDO LA VERIFICACION DE FUNCIONALIDAD E INTEGRACION CON EL SERVIDOR DE LA PLATAFORMA TECNOLOGICA DEL PROYECTO DENOMINADO FORTALECIMIENTO DE LA CULTURA CIUDADANA Y DEMOCRATICA EN CTEI A TRAVES DE LA INVESTIGACION COMO ESTRATEGIA PEDAGOGICA APOYADA EN TICS EN EL DEPARTAMENTO DE NARIÑO. LO ANTERIOR DE CONFORMIDAD CON LOS DOCUMENTOS DEL PROCESO, QUE HACEN PARTE INTEGRAL DEL CONTRATO.</t>
  </si>
  <si>
    <t>CAMILO HERNAN VILLOTA IBARRA</t>
  </si>
  <si>
    <t>https://community.secop.gov.co/Public/Tendering/ContractNoticePhases/View?PPI=CO1.PPI.8991771&amp;isFromPublicArea=True&amp;isModal=False</t>
  </si>
  <si>
    <t xml:space="preserve">EL CONTRATISTA SE COMPROMETE PARA CON EL DEPARTAMENTO A PRESTAR SUS SERVICIOS PROFESIONALES BRINDANDO APOYO EN EL DESARROLLO DEL SOFTWARE PARA MEJORAR LA FUNCIONALIDAD Y ESTRUCTURACION DE LA PLATAFORMA TECNOLOGICA DEL PROYECTO DENOMINADO  FORTALECIMIENTO DE LA CULTURA CIUDADANA  Y DEMOCRATICA EN CETI  A TRAVES DE LA INVESTIGACION COMO ESTRATEGIA PEDAGOGICA APOYADA EN TICS EN EL DEPARTAMENTO DE NARIÑO </t>
  </si>
  <si>
    <t>ELKIN FABIAN ENRIQUEZ MORA</t>
  </si>
  <si>
    <t>https://community.secop.gov.co/Public/Tendering/ContractNoticePhases/View?PPI=CO1.PPI.9002720&amp;isFromPublicArea=True&amp;isModal=False</t>
  </si>
  <si>
    <t xml:space="preserve">EL CONTRATISTA SE OBLIGA PARA CON EL DEPARTAMENTO A LA PRESTACIóN DE SUS SERVICIOS PROFESIONALES COMO LICENCIADA EN INFORMáTICA PARA EL DESARROLLO DE SOFTWARE Y ADMINISTRADOR DE BASES DE DATOS CON LENGUAJE SQL- SQLSERVER Y MYSQL-MYSQK WORKBENCH; Y MOTORES DE BASE DE DATOS DERBY, TOMCAT, MYSQLSERVER Y PHPMYADMIN., CON CONOCIMIENTO AVANZADO EN JAVASCRIPT, NETBEANS Y ECLIPSE Y UN BUEN DOMINIO DE INGLéS. CON EL SERVIDOR DE LA PLATAFORMA TECNOLóGICA DEL PROYECTO DENOMINADO: “FORTALECIMIENTO DE LA CULTURA CIUDADANA Y DEMOCRáTICA EN CTEI A TRAVéS DE LA INVESTIGACIóN COMO ESTRATEGIA PEDAGóGICA APOYADA EN TICS EN EL DEPARTAMENTO DE NARIñO”. LO ANTERIOR DE CONFORMIDAD CON LOS DOCUMENTOS DEL PROCESO, QUE HACEN PARTE INTEGRAL DEL CONTRATO </t>
  </si>
  <si>
    <t>DAYRA MARITZA PAZ CALDERÓN</t>
  </si>
  <si>
    <t>https://community.secop.gov.co/Public/Tendering/ContractNoticePhases/View?PPI=CO1.PPI.9048943&amp;isFromPublicArea=True&amp;isModal=False</t>
  </si>
  <si>
    <t>LA CONTRATISTA SE OBLIGA CON EL DEPARTAMENTO A PRESTAR SUS SERVICIOS INTEGRALES DE ASEO, CAFETERIA Y OFICIOS VARIOS, EN LAS DEPENDENCIAS DE LA GOBERNACION DE NARIÑO CON EL FIN DE CONSERVAR Y MANTENER EN BUEN ESTADO LAS INSTALACIONES.</t>
  </si>
  <si>
    <t>https://community.secop.gov.co/Public/Tendering/ContractNoticePhases/View?PPI=CO1.PPI.9052950&amp;isFromPublicArea=True&amp;isModal=False</t>
  </si>
  <si>
    <t xml:space="preserve">EL-LA CONTRATISTA SE COMPROMETE CON EL DEPARTAMENTO DE NARIñO A PRESTAR, CON SUS PROPIOS MEDIOS CON PLENA AUTONOMíA TéCNICA Y ADMINISTRATIVA, SUS SERVICIOS PROFESIONALES COMO ABOGADO-A PARA APOYAR LA GESTIóN CONTRACTUAL QUE EL DEPARTAMENTO DE NARIñO EJECUTA A TRAVéS DE LA UNIDAD ADMINISTRATIVA ESPECIAL PARA LA CONTINUACIóN DE LA PAVIMENTACIóN DE LA VíA JUNíN – BARBACOAS Y DEMáS ASPECTOS JURíDICOS QUE DEBAN SER ATENDIDOS POR DICHA DEPENDENCIA. LO ANTERIOR DE CONFORMIDAD CON LOS DOCUMENTOS DEL PROCESO QUE HACEN PARTE INTEGRAL DEL CONTRATO </t>
  </si>
  <si>
    <t>https://community.secop.gov.co/Public/Tendering/ContractNoticePhases/View?PPI=CO1.PPI.9052019&amp;isFromPublicArea=True&amp;isModal=False</t>
  </si>
  <si>
    <t xml:space="preserve">ANDREA GUERRERO ROSERO
15:45 (HACE 0 MINUTOS)
PARA Mí
EL CONTRATISTA SE OBLIGA A PRESTAR SUS SERVICIOS PROFESIONALES COMO ABOGADO, ESPECIALISTA EN DERECHO CONSTITUCIONAL,  EN LA UNIDAD ADMINISTRATIVA ESPECIAL PARA LA CONTINUACIóN DE LA PAVIMENTACIóN DE LA VíA JUNíN - BARBACOAS, ESPECIALMENTE EN LOS TRAMITES Y PROCESOS DE CARáCTER JURíDICO RELEVANTES A LA GESTIóN PREDIAL Y APOYO A LA GESTIóN CONTRACTUAL REQUERIDA PARA LA EJECUCIóN DEL PROYECTO ESTRATéGICO "MANTENIMIENTO, REHABILITACIóN Y PAVIMENTACIóN DE LA VíA JUNíN BARBACOAS ENTRE EL K27+000 (BUENAVISTA) Y 55+400 (CABECERA MUNICIPAL DE BARBACOAS Y SUS ACCESOS), DEPARTAMENTO DE NARIñO". LO ANTERIOR DE CONFORMIDAD CON LOS DOCUMENTOS DEL PROCESO, QUE HACEN PARTE INTEGRAL DEL CONTRATO </t>
  </si>
  <si>
    <t>https://community.secop.gov.co/Public/Tendering/ContractNoticePhases/View?PPI=CO1.PPI.9060338&amp;isFromPublicArea=True&amp;isModal=False</t>
  </si>
  <si>
    <t xml:space="preserve">EL-LA CONTRATISTA SE COMPROMETE CON EL DEPARTAMENTO DE NARIñO A PRESTAR CON SUS PROPIOS MEDIOS CON PLENA AUTONOMíA TéCNICA Y ADMINISTRATIVA, SUS  SERVICIOS PROFESIONALES COMO INGENIERO CIVIL, EN LA UNIDAD ADMINISTRATIVA ESPECIAL PARA LA CONTINUACIóN DE LA PAVIMENTACIóN DE LA VíA JUNíN – BARBACOAS, EN EL APOYO A LA SUPERVISIóN, SEGUIMIENTO, REVISIóN TéCNICA, CONTROL, Y ESTRUCTURACIóN DE PROCESOS, DEL PROYECTO ESTRATéGICO MANTENIMIENTO, REHABILITACIóN Y PAVIMENTACIóN DE LA VíA JUNíN BARBACOAS ENTRE EL K27+000 (BUENAVISTA) Y K55+400 (CABECERA MUNICIPAL DE BARBACOAS Y SUS ACCESOS), DEPARTAMENTO DE NARIñO. LO ANTERIOR DE CONFORMIDAD CON LOS DOCUMENTOS DEL PROCESO, QUE HACEN PARTE INTEGRAL DEL CONTRATO. </t>
  </si>
  <si>
    <t>https://community.secop.gov.co/Public/Tendering/ContractNoticePhases/View?PPI=CO1.PPI.9064301&amp;isFromPublicArea=True&amp;isModal=False</t>
  </si>
  <si>
    <t xml:space="preserve">EL-LA CONTRATISTA SE COMPROMETE CON EL DEPARTAMENTO DE NARIñO A PRESTAR,  CON SUS PROPIOS MEDIOS CON PLENA AUTONOMíA TéCNICA Y ADMINISTRATIVA,     SUS SERVICIOS PROFESIONALES COMO CONTADORA MAGISTER EN GERENCIA ASESORíA FINANCIERA, EN LA UNIDAD ADMINISTRATIVA ESPECIAL PARA LA CONTINUACIóN DE LA PAVIMENTACIóN DE LA VíA JUNíN - BARBACOAS, EN EL PROCESO RELACIONADO A LA OPERACIóN DEL COMPONENTE FINANCIERO, ADMINISTRATIVO / PRESUPUESTAL DEL PROYECTO ESTRATéGICO MANTENIMIENTO, REHABILITACIóN Y PAVIMENTACIóN DE LA VíA JUNíN BARBACOAS ENTRE EL K27+000 (BUENAVISTA) AL K55+400 (CABECERA MUNICIPAL DE BARBACOAS Y SUS ACCESOS), DEPARTAMENTO DE NARIñO Y EN ACTIVIDADES RELACIONADAS CON EL APOYO A LA SUPERVISIóN FINANCIERA DE LOS CONTRATOS EN EJECUCIóN QUE SE LE ASIGNEN. LO ANTERIOR DE CONFORMIDAD CON LOS DOCUMENTOS DEL PROCESO,  QUE HACEN PARTE INTEGRAL DEL CONTRATO. </t>
  </si>
  <si>
    <t>https://community.secop.gov.co/Public/Tendering/ContractNoticePhases/View?PPI=CO1.PPI.9064269&amp;isFromPublicArea=True&amp;isModal=False</t>
  </si>
  <si>
    <t xml:space="preserve">LA CONTRATISTA SE COMPROMETE CON EL DEPARTAMENTO DE NARIñO A PRESTAR, CON SUS PROPIOS MEDIOS CON PLENA AUTONOMíA TéCNICA Y ADMINISTRATIVA, SUS SERVICIOS PROFESIONALES COMO INGENIERO CIVIL, ESPECIALISTA EN GERENCIA DE CONSTRUCCIONES, EN LA UNIDAD ADMINISTRATIVA ESPECIAL PARA LA CONTINUACIóN DE LA PAVIMENTACIóN DE LA VíA JUNíN – BARBACOAS, EN EL APOYO A LA SUPERVISIóN, SEGUIMIENTO, REVISIóN TéCNICA, CONTROL, Y ESTRUCTURACIóN DE PROCESOS, DEL PROYECTO ESTRATéGICO MANTENIMIENTO, REHABILITACIóN Y PAVIMENTACIóN DE LA VíA JUNíN BARBACOAS ENTRE EL K27+000 (BUENAVISTA) Y K55+400 (CABECERA MUNICIPAL DE BARBACOAS Y SUS ACCESOS), DEPARTAMENTO DE NARIñO. LO ANTERIOR DE CONFORMIDAD CON LOS DOCUMENTOS DEL PROCESO, QUE HACEN PARTE INTEGRAL DEL CONTRATO. </t>
  </si>
  <si>
    <t>https://community.secop.gov.co/Public/Tendering/ContractNoticePhases/View?PPI=CO1.PPI.9080537&amp;isFromPublicArea=True&amp;isModal=False</t>
  </si>
  <si>
    <t xml:space="preserve">FERNEY :
PRESTACIóN DE SERVICIOS PROFESIONALES COMO INGENIERO MECANICO, EN LA UNIDAD ADMINISTRATIVA ESPECIAL PARA LA CONTINUACIóN DE LA PAVIMENTACIóN DE LA VíA JUNíN – BARBACOAS, EN EL  APOYO A LA SUPERVISIóN, SEGUIMIENTO, REVISIóN TéCNICA, DE MAQUINARIA Y EL PROCESO RELACIONADO AL LEVANTAMIENTO DE INVENTARIOS Y CONTROL DE LOS MISMOS EN LA EJECUCIóN DEL PROYECTO ESTRATéGICO MANTENIMIENTO, REHABILITACIóN Y PAVIMENTACIóN DE LA VíA JUNíN BARBACOAS ENTRE EL K27+000 (BUENAVISTA) Y K55+400 (CABECERA MUNICIPAL DE BARBACOAS Y SUS ACCESOS), DEPARTAMENTO DE NARIñO. LO ANTERIOR DE CONFORMIDAD CON LOS DOCUMENTOS DEL PROCESO, QUE HACEN PARTE INTEGRAL DEL CONTRATO. </t>
  </si>
  <si>
    <t>FERNEY EDUARDO LANDAZURI JARAMILLO</t>
  </si>
  <si>
    <t>OSCAR RAMON GONZALEZ RAMIREZ</t>
  </si>
  <si>
    <t xml:space="preserve">LA CONTRATISTA SE COMPROMETE CON EL DEPARTAMENTO DE NARIñO A PRESTAR, CON SUS PROPIOS MEDIOS CON PLENA AUTONOMíA TéCNICA Y ADMINISTRATIVA, SUS SERVICIOS PROFESIONALES  COMO INGENIERA AGROFORESTAL,  ESPECIALISTA EN GESTIóN AMBIENTAL,  EN LA UNIDAD ADMINISTRATIVA ESPECIAL PARA LA CONTINUACIóN DE LA PAVIMENTACIóN DE LA VíA JUNíN – BARBACOAS;  ESPECIALMENTE APOYANDO LOS TRáMITES Y PROCESOS DE CARáCTER AMBIENTAL REQUERIDOS PARA LA EJECUCIóN DEL PROYECTO "MANTENIMIENTO, REHABILITACIóN Y PAVIMENTACIóN DE LA VíA JUNíN BARBACOAS ENTRE EL K27+000 (BUENAVISTA) Y 55+400 (CABECERA MUNICIPAL DE BARBACOAS Y SUS ACCESOS), DEPARTAMENTO DE NARIñO”. LO ANTERIOR DE CONFORMIDAD CON LOS DOCUMENTOS DEL PROCESO, QUE HACEN PARTE INTEGRAL DEL CONTRATO </t>
  </si>
  <si>
    <t>https://community.secop.gov.co/Public/Tendering/ContractNoticePhases/View?PPI=CO1.PPI.9078644&amp;isFromPublicArea=True&amp;isModal=False</t>
  </si>
  <si>
    <t xml:space="preserve">CONTRATISTA SE COMPROMETE CON EL DEPARTAMENTO DE NARIñO A PRESTAR, CON SUS PROPIOS MEDIOS CON PLENA AUTONOMíA TéCNICA Y ADMINISTRATIVA, SUS SERVICIOS PROFESIONALES COMO INGENIERO-A CIVIL, MAGISTER EN INGENIERIA DE VIAS, EN LA UNIDAD ADMINISTRATIVA ESPECIAL PARA LA CONTINUACIóN DE LA PAVIMENTACIóN DE LA VíA JUNíN – BARBACOAS, EN EL APOYO A LA SUPERVISIóN, SEGUIMIENTO, REVISIóN TéCNICA, CONTROL, Y ESTRUCTURACIóN DE PROCESOS, DEL PROYECTO ESTRATéGICO MANTENIMIENTO, REHABILITACIóN Y PAVIMENTACIóN DE LA VíA JUNíN BARBACOAS ENTRE EL K27+000 (BUENAVISTA) Y K55+400 (CABECERA MUNICIPAL DE BARBACOAS Y SUS ACCESOS), DEPARTAMENTO DE NARIñO. LO ANTERIOR DE CONFORMIDAD CON LOS DOCUMENTOS DEL PROCESO, QUE HACEN PARTE INTEGRAL DEL CONTRATO. </t>
  </si>
  <si>
    <t>https://community.secop.gov.co/Public/Tendering/ContractNoticePhases/View?PPI=CO1.PPI.9076209&amp;isFromPublicArea=True&amp;isModal=False</t>
  </si>
  <si>
    <t>https://community.secop.gov.co/Public/Tendering/ContractNoticePhases/View?PPI=CO1.PPI.9079106&amp;isFromPublicArea=True&amp;isModal=False</t>
  </si>
  <si>
    <t xml:space="preserve">LA CONTRATISTA SE COMPROMETE CON EL DEPARTAMENTO DE NARIñO A PRESTAR, CON SUS PROPIOS MEDIOS CON PLENA AUTONOMíA TéCNICA Y ADMINISTRATIVA, SUS SERVICIOS DE APOYO A LA GESTIóN COMO TECNóLOGO (A) EN ADMINISTRACIóN FINANCIERA EN LA UNIDAD ADMINISTRATIVA ESPECIAL PARA LA CONTINUACIóN DE LA PAVIMENTACIóN DE LA VíA JUNíN – BARBACOAS EN EL PROCESO RELACIONADO A LA RECOPILACIóN, REGISTRO, CLASIFICACIóN Y CONTROL DE LA INFORMACIóN NECESARIA PARA ELABORAR PERIóDICAMENTE LOS DIFERENTES INFORMES DEL PROYECTO ESTRATéGICO MANTENIMIENTO, REHABILITACIóN Y PAVIMENTACIóN DE LA VíA JUNíN – BARBACOAS ENTRE EL K27+000 (BUENAVISTA) Y K55+400 (CABECERA MUNICIPAL DE BARBACOAS Y SUS ACCESOS), DEPARTAMENTO DE NARIñO Y DEMáS  ACTIVIDADES ADMINISTRATIVAS RELACIONADAS CON EL APOYO A LA SUPERVISIóN DE LOS CONTRATOS EN EJECUCIóN QUE SE LE ASIGNEN. LO ANTERIOR DE CONFORMIDAD CON LOS DOCUMENTOS DEL PROCESO, QUE HACEN PARTE INTEGRAL DEL CONTRATO. </t>
  </si>
  <si>
    <t>https://community.secop.gov.co/Public/Tendering/ContractNoticePhases/View?PPI=CO1.PPI.9093701&amp;isFromPublicArea=True&amp;isModal=False</t>
  </si>
  <si>
    <t xml:space="preserve">EL CONTRATISTA SE OBLIGA CON EL DEPARTAMENTO A PRESTAR SUS SERVICIOS PERSONALES DE APOYO A LA GESTIóN COMO TéCNICO EN MECáNICA AUTOMOTRIZ, ESPECIALMENTE EN EL PROCESO REFERENTE AL MANTENIMIENTO ELéCTRICO Y ELECTROMECáNICO PREVENTIVO Y CORRECTIVO DE LA MAQUINARIA Y DE LAS UNIDADES DE TRANSPORTE DEL EJéRCITO NACIONAL EN LA BRIGADA DE CONSTRUCCIONES –UBICADA EN EL MUNICIPIO DE BARBACOAS, PARA LA EJECUCIóN DEL PROYECTO ESTRATéGICO “MANTENIMIENTO, REHABILITACIóN Y PAVIMENTACIóN DE LA VíA JUNíN – BARBACOAS ENTRE EL K27+000 (BUENAVISTA) Y K55+400  ( CABECERA MUNICIPAL DE BARBACOAS Y SUS ACCESOS), DEPARTAMENTO DE NARIñO”, EN EL MARCO DEL CONVENIO INTERADMINISTRATIVO NO. 2178 DE 2013 SUSCRITO ENTRE EL INSTITUTO NACIONAL DE VíAS – INVIAS Y EL DEPARTAMENTO DE NARIñO Y SUS CONVENIOS  DERIVADOS </t>
  </si>
  <si>
    <t>https://community.secop.gov.co/Public/Tendering/ContractNoticePhases/View?PPI=CO1.PPI.9093707&amp;isFromPublicArea=True&amp;isModal=False</t>
  </si>
  <si>
    <t xml:space="preserve">EL CONTRATISTA SE COMPROMETE CON EL DEPARTAMENTO DE NARIñO A PRESTAR, CON SUS PROPIOS MEDIOS CON PLENA AUTONOMíA TéCNICA Y ADMINISTRATIVA, SUS SERVICIOS PROFESIONALES, COMO ADMINISTRADOR DE NEGOCIOS INTERNACIONALES EN LA UNIDAD ADMINISTRATIVA ESPECIAL PARA LA CONTINUACI6N DE LA PAVIMENTACIóN DE LA VíA JUNíN — BARBACOAS. EN LA GESTIóN ADMINISTRATIVA  DEL  PROYECTO  ESTRATéGICO MANTENIMIENTO, REHABILITACIóN Y PAVIMENTACIóN DE LA VíA JUNíN — BARBACOAS ENTRE EL K27+000 (BUENAVISTA) Y K55+400 (CABECERA MUNICIPAL DE BARBACOAS Y SUS ACCESOS), DEPARTAMENTO DE NARIñO Y DEMáS  ACTIVIDADES RELACIONADAS CON EL APOYO A LA SUPERVISIóN DE LOS CONTRATOS EN EJECUCI6N QUE SE LE ASIGNEN. LO ANTERIOR DE CONFORMIDAD CON LOS DOCUMENTOS DEL PROCESO, QUE HACEN PARTE INTEGRAL DEL CONTRATO </t>
  </si>
  <si>
    <t>https://community.secop.gov.co/Public/Tendering/ContractNoticePhases/View?PPI=CO1.PPI.9093767&amp;isFromPublicArea=True&amp;isModal=False</t>
  </si>
  <si>
    <t xml:space="preserve">PRESTACION DE SERVICIOS PROFESIONALES COMO ABOGADO PARA APOYAR LOS PROCESOS DE INSPECCIÓN Y VIGILANCIA EN EL SERVICIO PUBLICO DE EDUCACION. LO ANTERIOR DE CONFORMIDAD CON LOS DOCUMENTOS DEL PROCESO QUE HACEN PARTE INTEGRAL DEL CONTRATO. </t>
  </si>
  <si>
    <t xml:space="preserve">PRESTACION DE SERVICIOS PROFESIONALES COMO ADMINISTRADOR PUBLICO PARA APOYAR LOS PROCESOS DE INSPECCION Y VIGILANCIA EN EL SERVICIO PUBLICO DE EDUCACION </t>
  </si>
  <si>
    <t xml:space="preserve">EL CONTRATISTA SE OBLIGA CON EL DEPARTAMENTO A PRESTAR SUS  SERVICIOS PERSONALES DE APOYO A LA GESTIóN PARA LLEVAR A CABO LOS TRáMITES Y PROCESOS RELACIONADOS CON EL DESARROLLO Y EJECUCIóN DE LAS DISTINTAS áREAS DEL PROGRAMA DEL PLAN ANUAL DE BIENESTAR SOCIAL INSTITUCIONAL Y PLAN INSTITUCIONAL DE CAPACITACIONES, ESTíMULOS E INCENTIVOS QUE ADELANTE LA SUBSECRETARíA DE TALENTO HUMANO. </t>
  </si>
  <si>
    <t>https://community.secop.gov.co/Public/Tendering/ContractNoticePhases/View?PPI=CO1.PPI.9105123&amp;isFromPublicArea=True&amp;isModal=False</t>
  </si>
  <si>
    <t>2020-09-11</t>
  </si>
  <si>
    <t>2020-12-30</t>
  </si>
  <si>
    <t xml:space="preserve">PRESTACION DE SERVICIOS PROFESIONALES COMO ABOGADO PARA APOYAR LA GESTION QUE ADELANTA LA SUBSECRETARIA DE PLANEACION EDUCATIVA Y COBERTURA DE LA SECRETARIA DE EDUCACION. </t>
  </si>
  <si>
    <t>PRESTACION DE SERVICIOS PROFESIONALES COMO LICENCIADO EN LENGUAS MODERNA ESPAÑOL – INGLES, PARA APOYAR LOS PROCESOS DE INSPECCION Y VIGILANCIA EN EL SERVICIO PUBLICO DE EDUCACION.</t>
  </si>
  <si>
    <t>https://community.secop.gov.co/Public/Tendering/ContractNoticePhases/View?PPI=CO1.PPI.9106055&amp;isFromPublicArea=True&amp;isModal=False</t>
  </si>
  <si>
    <t xml:space="preserve">EL CONTRATISTA SE OBLIGA CON EL DEPARTAMENTO A PRESTAR SUS SERVICIOS PROFESIONALES EN LOS PROCESOS Y/O ACTIVIDADES CONCERNIENTES A LA OFICINA AGUARDIENTE NARIÑO – SECRETARIA DE HACIENDA, DE CONFORMIDAD A LA PROPUESTA PRESENTADA </t>
  </si>
  <si>
    <t>2020-08-11</t>
  </si>
  <si>
    <t>https://community.secop.gov.co/Public/Tendering/ContractNoticePhases/View?PPI=CO1.PPI.9109356&amp;isFromPublicArea=True&amp;isModal=False</t>
  </si>
  <si>
    <t xml:space="preserve">EL CONTRATISTA SE OBLIGA CON EL DEPARTAMENTO A PRESTAR LOS SERVICIOS PERSONALES DE APOYO A LA GESTIóN COMO OFICIAL DE CONSTRUCCIóN, REQUERIDOS POR EL EJéRCITO NACIONAL – BRIGADA DE CONTRUCCIONES – BATALLóN DE INGENIEROS MILITARES NO. 52, PARA LA EJECUCIóN DEL PROYECTO “MANTENIMIENTO, REHABILITACIóN Y PAVIMENTACIóN DE LA VíA JUNíN BARBACOAS ENTRE EL K27+000 (BUENAVISTA) Y K55+400 (CABECERA MUNICIPAL DE BARBACOAS Y SUS ACCESOS), DEPARTAMENTO DE NARIñO”. EN EL MARCO DEL CONVENIO INTERADMINISTRATIVO NO. 1632 DE 2013 SUSCRITO ENTRE EL EJéRCITO NACIONAL DE COLOMBIA CON EL DEPARTAMENTO DE NARIñO. </t>
  </si>
  <si>
    <t>JOSE IGNACIO IPAZ</t>
  </si>
  <si>
    <t>https://community.secop.gov.co/Public/Tendering/ContractNoticePhases/View?PPI=CO1.PPI.9145207&amp;isFromPublicArea=True&amp;isModal=False</t>
  </si>
  <si>
    <t xml:space="preserve">EL CONTRATISTA SE OBLIGA CON EL DEPARTAMENTO A PRESTAR SUS SERVICIOS PERSONALES DE APOYO A LA GESTION, PARA EL DESARROLLO DE ACTIVIDADES DIRIGIDAS AL MANTENIMIENTO PREVENTIVO Y CORRECTIVO DE LAS INSTALACIONES Y SEDES DE LA GOBERNACIóN DE NARIÑO, INCLUIDOS LOS BIENES MUEBLES Y ENSERES QUE HACEN PARTE DEL MISMO, BRINDANDO UN AMBIENTE PROPICIO DE TRABAJO PARA FUNCIONARIOS Y PARA LA COMUNIDAD QUE DIARIAMENTE VISITA LAS DEPENDENCIAS QUE CONFORMAN LA ENTIDAD, DE IGUAL MANERA DEBERA PRESTAR SU COLABORACION EN LABORES VARIAS QUE SEAN REQUERIDAS. LO ANTERIOR DE CONFORMIDAD CON LOS DOCUMENTOS DEL PROCESO, QUE HACEN PARTE INTEGRAL DEL CONTRATO. </t>
  </si>
  <si>
    <t>https://community.secop.gov.co/Public/Tendering/ContractNoticePhases/View?PPI=CO1.PPI.9153702&amp;isFromPublicArea=True&amp;isModal=False</t>
  </si>
  <si>
    <t xml:space="preserve">LA CONTRATISTA SE OBLIGA CON EL DEPARTAMENTO A PRESTAR SUS SERVICIOS INTEGRALES DE ASEO, CAFETERIA Y OFICIOS VARIOS, EN LAS DEPENDENCIAS DE LA GOBERNACION DE NARIñO CON EL FIN DE CONSERVAR Y MANTENER EN BUEN ESTADO LAS INSTALACIONES. </t>
  </si>
  <si>
    <t>https://community.secop.gov.co/Public/Tendering/ContractNoticePhases/View?PPI=CO1.PPI.9145185&amp;isFromPublicArea=True&amp;isModal=False</t>
  </si>
  <si>
    <t xml:space="preserve">LA CONTRATISTA SE OBLIGA CON EL DEPARTAMENTO A PRESTAR SUS SERVICIOS INTEGRALES DE ASEO, CAFETERIA Y OFICIOS VARIOS, EN LAS DEPENDENCIAS DE LA GOBERNACION DE NARIÑO CON EL FIN DE CONSERVAR Y MANTENER EN BUEN ESTADO LAS INSTALACIONES. </t>
  </si>
  <si>
    <t>2020-08-27</t>
  </si>
  <si>
    <t>https://community.secop.gov.co/Public/Tendering/ContractNoticePhases/View?PPI=CO1.PPI.9147050&amp;isFromPublicArea=True&amp;isModal=False</t>
  </si>
  <si>
    <t>https://community.secop.gov.co/Public/Tendering/ContractNoticePhases/View?PPI=CO1.PPI.9148231&amp;isFromPublicArea=True&amp;isModal=False</t>
  </si>
  <si>
    <t>https://community.secop.gov.co/Public/Tendering/ContractNoticePhases/View?PPI=CO1.PPI.9149447&amp;isFromPublicArea=True&amp;isModal=False</t>
  </si>
  <si>
    <t xml:space="preserve">EL CONTRATISTA SE OBLIGA CON EL DEPARTAMENTO A PRESTAR SUS SERVICIOS PERSONALES DE APOYO A LA GESTION, PARA EL DESARROLLO DE ACTIVIDADES DIRIGIDAS AL MANTENIMIENTO PREVENTIVO Y CORRECTIVO DE LAS INSTALACIONES Y SEDES DE LA GOBERNACIóN DE NARIñO, INCLUIDOS LOS BIENES MUEBLES Y ENSERES QUE HACEN PARTE DEL MISMO, BRINDANDO UN AMBIENTE PROPICIO DE TRABAJO PARA FUNCIONARIOS Y PARA LA COMUNIDAD QUE DIARIAMENTE VISITA LAS DEPENDENCIAS QUE CONFORMAN LA ENTIDAD, DE IGUAL MANERA DEBERA PRESTAR SU COLABORACION EN LABORES VARIAS QUE SEAN REQUERIDAS. LO ANTERIOR DE CONFORMIDAD CON LOS DOCUMENTOS DEL PROCESO, QUE HACEN PARTE INTEGRAL DEL CONTRATO. </t>
  </si>
  <si>
    <t>https://community.secop.gov.co/Public/Tendering/ContractNoticePhases/View?PPI=CO1.PPI.9153266&amp;isFromPublicArea=True&amp;isModal=False</t>
  </si>
  <si>
    <t xml:space="preserve">EL CONTRATISTA SE OBLIGA CON EL DEPARTAMENTO A PRESTAR SUS SERVICIOS PERSONALES DE APOYO A LA GESTION, PARA EL DESARROLLO DE ACTIVIDADES DIRIGIDAS AL MANTENIMIENTO PREVENTIVO Y CORRECTIVO DE LAS INSTALACIONES Y SEDES DE LA GOBERNACION DE NARIñO, INCLUIDOS LOS BIENES MUEBLES Y ENSERES QUE HACEN PARTE DEL MISMO, BRINDANDO UN AMBIENTE PROPICIO DE TRABAJO PARA FUNCIONARIOS Y PARA LA COMUNIDAD QUE DIARIAMENTE VISITA LAS DEPENDENCIAS QUE CONFORMAN LA ENTIDAD, DE IGUAL MANERA DEBERA PRESTAR SU COLABORACION EN LABORES VARIAS QUE SEAN REQUERIDAS. LO ANTERIOR DE CONFORMIDAD CON LOS DOCUMENTOS DEL PROCESO, QUE HACEN PARTE INTEGRAL DEL CONTRATO. </t>
  </si>
  <si>
    <t>https://community.secop.gov.co/Public/Tendering/ContractNoticePhases/View?PPI=CO1.PPI.9153745&amp;isFromPublicArea=True&amp;isModal=False</t>
  </si>
  <si>
    <t xml:space="preserve">EL CONTRATISTA SE OBLIGA A PRESTAR SUS SERVICIOS PROFESIONALES COMO ECONOMISTA, EN LA SUBSECRETARíA DE PRESUPUESTO DE LA SECRETARíA DE HACIENDA. LO ANTERIOR DE CONFORMIDAD CON LOS DOCUMENTOS DEL PROCESO, QUE HACEN PARTE INTEGRAL DEL CONTRATO. </t>
  </si>
  <si>
    <t>2020-07-27</t>
  </si>
  <si>
    <t>https://community.secop.gov.co/Public/Tendering/OpportunityDetail/Index?noticeUID=CO1.NTC.1341339&amp;isFromPublicArea=True&amp;isModal=False</t>
  </si>
  <si>
    <t xml:space="preserve">EL CONTRATISTA, SE COMPROMETE PARA CON EL DEPARTAMENTO A APOYAR LAS ACCIONES PARA LA CONFORMACIóN Y EL FORTALECIMIENTO DE LOS PROCESOS ORGANIZATIVOS, SOCIALES Y COMUNITARIOS LIDERADOS POR LAS ASOCIACIONES Y ORGANIZACIONES COMUNALES EN EL DEPARTAMENTO DE NARIñO. </t>
  </si>
  <si>
    <t>ROBERT HERNAN PATIÑO BURBANO</t>
  </si>
  <si>
    <t>2020-11-17</t>
  </si>
  <si>
    <t xml:space="preserve">EL CONTRATISTA SE OBLIGA CON EL DEPARTAMENTO A PRESTAR SUS SERVICIOS PROFESIONALES COMO INGENIERO DE SISTEMAS, EN LA SECRETARIA DE HACIENDA - SUBSECRETARIA DE RENTAS, PARA APOYAR A LA OFICINA DE IMPUESTO VEHICULAR Y REGISTRO EN EL DEPARTAMENTO DE NARIÑO. </t>
  </si>
  <si>
    <t>2020-11-16</t>
  </si>
  <si>
    <t xml:space="preserve">LA CONTRATISTA SE OBLIGA CON EL DEPARTAMENTO A PRESTAR SUS SERVICIOS PROFESIONALES COMO ABOGADA PARA APOYAR LAS ACTIVIDADES JURIDICAS QUE EJECUTA LA SUBSECRETARIA DE RENTAS DEL DEPARTAMENTO A TRAVES DE LA OFICINA DE AGUARDIENTE NARIÑO, LA OFICINA DE IMPUESTOS DE VEHICULOS AUTOMOTORES Y DE REGISTRO, EL GRUPO OPERATIVO ANTICONTRABANDO Y DEMáS ASPECTOS JURIDICOS QUE DEBAN SER ATENDIDOS POR DICHA DEPENDENCIA. </t>
  </si>
  <si>
    <t>https://community.secop.gov.co/Public/Tendering/ContractNoticePhases/View?PPI=CO1.PPI.9173870&amp;isFromPublicArea=True&amp;isModal=False</t>
  </si>
  <si>
    <t xml:space="preserve">LA CONTRATISTA SE OBLIGA A PRESTAR SUS SERVICIOS PROFESIONALES PARA APOYAR LOS ASUNTOS ADMINISTRATIVOS Y FINANCIEROS QUE DEBAN SER ATENDIDOS EN EL PROGRAMA DE SOBERANÍA Y SEGURIDAD ALIMENTARIA Y NUTRICIONAL DE LA GOBERNACIÓN DE NARIÑO EN LA EJECUCIÓN DE LOS PLANES DE ACCIÓN 2020.  </t>
  </si>
  <si>
    <t>PAOLA ANDREA RAMIREZ ENRIQUEZ</t>
  </si>
  <si>
    <t>https://community.secop.gov.co/Public/Tendering/ContractNoticePhases/View?PPI=CO1.PPI.9177123&amp;isFromPublicArea=True&amp;isModal=False</t>
  </si>
  <si>
    <t xml:space="preserve">PRESTACION DE SERVICIOS PROFESIONALES COMO ADMINISTRADOR PUBLICO PARA APOYAR LOS PROCESOS DE INSPECCION Y VIGILANCIA EN EL SERVICIO PUBLICO DE EDUCACION.  </t>
  </si>
  <si>
    <t>2020-07-21</t>
  </si>
  <si>
    <t>2020-08-21</t>
  </si>
  <si>
    <t xml:space="preserve">PRESTACION DE SERVICIOS PERSONALES PARA APOYAR LOS PROCESOS DE INSPECCION Y VIGILANCIA EN EL SERVICIO PUBLICO DE EDUCACION. </t>
  </si>
  <si>
    <t xml:space="preserve">EL CONTRATISTA SE OBLIGA CON EL DEPARTAMENTO A PRESTAR SUS SERVICIOS PERSONALES DE APOYO A LA GESTION EN LA SUBSECRETARIA ADMINISTRATIVA DEPENDENCIA ADSCRITA A SECRETARIA GENERAL DE LA GOBERNACION DE NARIñO, EN ACTIVIDADES DE TRAMITE ADMINISTRATIVO, OPERATIVO Y APOYO EN LA SUPERVISION DE LAS ACTIVIDADES EJECUTADAS POR EL PERSONAL DE SERVICIOS GENERALES Y PERSONAL DE MANTENIMIENTO PREVENTIVO Y CORRECTIVO DE LAS INSTALACIONES Y SEDES DE LA GOBERNACION DE NARIñO Y LAS DEMáS ACTIVIDADES NECESARIAS PARA EL CORRECTO FUNCIONAMIENTO DE LA SUBSECRETARIA ADMINISTRATIVA. </t>
  </si>
  <si>
    <t>https://community.secop.gov.co/Public/Tendering/ContractNoticePhases/View?PPI=CO1.PPI.9246021&amp;isFromPublicArea=True&amp;isModal=False</t>
  </si>
  <si>
    <t xml:space="preserve">CONTRATISTA SE OBLIGA CON EL DEPARTAMENTO A PRESTAR SUS SERVICIOS PERSONALES DE APOYO A LA GESTION, PARA EL DESARROLLO DE ACTIVIDADES DIRIGIDAS AL MANTENIMIENTO PREVENTIVO Y CORRECTIVO DE LAS INSTALACIONES Y SEDES DE LA GOBERNACION DE NARIñO, INCLUIDOS LOS BIENES MUEBLES Y ENSERES QUE HACEN PARTE DEL MISMO, BRINDANDO UN AMBIENTE PROPICIO DE TRABAJO PARA FUNCIONARIOS Y PARA LA COMUNIDAD QUE DIARIAMENTE VISITA LAS DEPENDENCIAS QUE CONFORMAN LA ENTIDAD, DE IGUAL MANERA DEBERA PRESTAR SU COLABORACION EN LABORES VARIAS QUE SEAN REQUERIDAS. LO ANTERIOR DE CONFORMIDAD CON LOS DOCUMENTOS DEL PROCESO, QUE HACEN PARTE INTEGRAL DEL CONTRATO. </t>
  </si>
  <si>
    <t>https://community.secop.gov.co/Public/Tendering/ContractNoticePhases/View?PPI=CO1.PPI.9247764&amp;isFromPublicArea=True&amp;isModal=False</t>
  </si>
  <si>
    <t xml:space="preserve">PRESTACION DE SERVICIOS PERSONALES PARA APOYAR LOS PROCESOS DE INSPECCION Y VIGILANCIA EN EL SERVICIO PUBLICO DE EDUCACION. LO ANTERIOR DE CONFORMIDAD CON LOS DOCUMENTOS DEL PROCESO QUE HACEN PARTE INTEGRAL DEL CONTRATO.  </t>
  </si>
  <si>
    <t xml:space="preserve">PRESTACIóN DE SERVICIOS PROFESIONALES PARA CONTRIBUIR CON EL FORTALECIMIENTO DE LA CALIDAD EDUCATIVA, BAJO EL LIDERAZGO DE LA SUBSECRETARíA DE CALIDAD DE LA SECRETARíA DE EDUCACIóN. </t>
  </si>
  <si>
    <t>KATHERYN PEREZ GUTIERREZ</t>
  </si>
  <si>
    <t>EL CONTRATISTA SE COMPROMETE CON EL DEPARTAMENTO A PRESTAR SUS SERVICIOS DE APOYO A LA GESTIÓN, EN LA SUBSECRETARÍA DE ECONOMÍA REGIONAL Y AGUA POTABLE, – PLAN DEPARTAMENTAL PARA EL MANEJO EMPRESARIAL DE LOS SERVICIOS DE AGUA POTABLE Y SANEAMIENTO PDA-NARIÑO, ESPECIALMENTE BRINDANDO SOPORTE ASISTENCIAL EN EL COMPONENTE DE PLANEACIÓN. LO ANTERIOR DE CONFORMIDAD CON LOS DOCUMENTOS DEL PROCESO, QUE HACEN PARTE INTEGRAL DEL CONTRATO.</t>
  </si>
  <si>
    <t>JORGE LUIS NENGER REVELO</t>
  </si>
  <si>
    <t>2020-07-28</t>
  </si>
  <si>
    <t xml:space="preserve">LA CONTRATISTA SE COMPROMETE CON EL DEPARTAMENTO A PRESTAR SUS SERVICIOS PROFESIONALES COMO COMUNICADORA SOCIAL PARA BRINDAR SU APOYO EN LAS ACTIVIDADES DE SOCIALIZACIóN, DIVULGACIóN Y PROYECCIóN DE LOS PROGRAMAS Y/O PROYECTOS LIDERADOS POR LA SECRETARíA DE PLANEACIóN DEPARTAMENTAL. LO ANTERIOR DE CONFORMIDAD CON LOS DOCUMENTOS DEL PROCESO, QUE HACEN PARTE INTEGRAL DEL CONTRATO. </t>
  </si>
  <si>
    <t>2020-11-22</t>
  </si>
  <si>
    <t xml:space="preserve">LA CONTRATISTA SE OBLIGA CON EL DEPARTAMENTO A PRESTAR SUS SERVICIOS INTEGRALES DE ASEO, CAFETERíA Y OFICIOS VARIOS, EN LAS DEPENDENCIAS DE LA GOBERNACIóN DE NARIñO CON EL FIN DE CONSERVAR Y MANTENER EN BUEN ESTADO LAS INSTALACIONES. </t>
  </si>
  <si>
    <t>https://community.secop.gov.co/Public/Tendering/ContractNoticePhases/View?PPI=CO1.PPI.9275420&amp;isFromPublicArea=True&amp;isModal=False</t>
  </si>
  <si>
    <t xml:space="preserve">EL CONTRATISTA SE OBLIGA CON EL DEPARTAMENTO A PRESTAR SUS SERVICIOS PERSONALES DE APOYO A LA GESTIóN EN LA SUBSECRETARíA ADMINISTRATIVA DEPENDENCIA ADSCRITA A SECRETARíA GENERAL DE LA GOBERNACIóN DE NARIñO, EN ACTIVIDADES DE TRáMITE ADMINISTRATIVO, OPERATIVO Y APOYO EN LA SUPERVISIóN DE LAS ACTIVIDADES EJECUTADAS POR EL PERSONAL DE SERVICIOS GENERALES Y PERSONAL DE MANTENIMIENTO PREVENTIVO Y CORRECTIVO DE LAS INSTALACIONES Y SEDES DE LA GOBERNACIóN DE NARIñO Y LAS DEMáS ACTIVIDADES NECESARIAS PARA CORRECTO EL FUNCIONAMIENTO DE LA SUBSECRETARIA ADMINISTRATIVA </t>
  </si>
  <si>
    <t>https://community.secop.gov.co/Public/Tendering/ContractNoticePhases/View?PPI=CO1.PPI.9277990&amp;isFromPublicArea=True&amp;isModal=False</t>
  </si>
  <si>
    <t xml:space="preserve">PRESTACION DE SERVICIOS PROFESIONALES PARA CONTRIBUIR Y APOYAR LOS PROCESOS Y EL FORTALECIMIENTO DE LA CALIDAD EDUCATIVA BAJO EL LIDERAZGO DE LA SUBSECRETARIA DE CALIDAD DE LA SECRETARIA DE EDUCACION. </t>
  </si>
  <si>
    <t>PRESTACION DE SERVICIOS PROFESIONALES COMO ABOGADA FRENTE A LA GESTION JURIDICA Y CONTRACTUAL QUE CONTRIBUYAN AL FORTALECIMIENTO DE LA CALIDAD EDUCATIVA BAJO EL LIDERAZGO DE LA SUBSECRETARIA DE CALIDAD DE LA SECRETARIA DE EDUCACION.</t>
  </si>
  <si>
    <t>MARIA ALEJANDRA MUÑOZ ORDOÑEZ</t>
  </si>
  <si>
    <t xml:space="preserve">EL O LA CONTRATISTA SE COMPROMETE CON EL DEPARTAMENTO A PRESTAR, POR SUS PROPIOS MEDIOS, CON PLENA AUTONOMíA TéCNICA Y ADMINISTRATIVA, SUS SERVICIOS PROFESIONALES COMO ADMINISTRADOR DE EMPRESAS PARA BRINDAR APOYO EN LA REALIZACIóN DEL PLAN DE ACCIóN DE ASISTENCIA TéCNICA PARA LOS 64 MUNICIPIOS DEL DEPARTAMENTO DE NARIñO, QUE CONTRIBUYA A ALCANZAR LAS METAS PROPUESTAS EN EL PLAN DE DESARROLLO EN LOS SUBPROGRAMAS QUE CORRESPONDAN A LA DEPENDENCIA. LO ANTERIOR DE CONFORMIDAD CON LOS DOCUMENTOS DEL PROCESO, QUE HACEN PARTE INTEGRAL DEL CONTRATO. </t>
  </si>
  <si>
    <t xml:space="preserve">PRESTACION DE SERVICIOS PROFESIONALES PARA APOYAR Y ASESORAR LEGALMENTE A LOS RECTORES DE LOS  ESTABLECIMIENTOS EDUCATIVOS DE MUNICIPIOS NO CERTIFICADOS DEL DEPARTAMENTO DE NARIÑO, EN LA CONTRATACION REALIZADA A TRAVES DE LOS FONDOS DE SERVICIOS EDUCATIVOS, TANTO EN REGIMEN ESPECIAL COMO EN CONTRATACION DE LEY 80 DE 1993. </t>
  </si>
  <si>
    <t xml:space="preserve">PRESTACION DE SERVICIOS PERSONALES PARA APOYAR LA GESTION ADMINISTRATIVA DE LA SECRETARIA DE EDUCACION DEPARTAMENTAL DE NARIÑO. </t>
  </si>
  <si>
    <t xml:space="preserve">EL CONTRATISTA SE COMPROMETE CON EL DEPARTAMENTO A PRESTAR SUS SERVICIOS PROFESIONALES COMO ABOGADO EN LA SUBSECRETARíA DE ECONOMíA REGIONAL Y AGUA POTABLE, PLAN DEPARTAMENTAL PARA EL MANEJO EMPRESARIAL DE LOS SERVICIOS DE AGUA Y SANEAMIENTO (PDA NARIñO), APOYANDO EN LOS TRáMITES Y PROCESOS DEL COMPONENTE JURíDICO. </t>
  </si>
  <si>
    <t>JHON PAULO CORAL OVIEDO</t>
  </si>
  <si>
    <t>2020-11-23</t>
  </si>
  <si>
    <t xml:space="preserve">EL CONTRATISTA SE COMPROMETE CON EL DEPARTAMENTO DE NARIñO A PRESTAR SUS SERVICIOS PROFESIONALES PARA APOYAR EN A LA SUPERVISIóN, SEGUIMIENTO, EVALUACIóN Y VERIFICACIóN DE LOS PROCESOS TéCNICOS, ADMINISTRATIVOS Y FINANCIEROS DEL PROYECTO FORTALECIMIENTO DE LAS CAPACIDADES DE INVESTIGACIÓN DEL DEPARTAMENTO DE NARIÑO A TRAVÉS DE LA FINANCIACIÓN DE PROYECTOS CTEL. LO ANTERIOR DE CONFORMIDAD CON LOS DOCUMENTOS DEL PROCESO, QUE HACEN PARTE INTEGRAL DEL CONTRATO. </t>
  </si>
  <si>
    <t>JESUS DAVID VALLEJO BRAVO</t>
  </si>
  <si>
    <t>2020-11-24</t>
  </si>
  <si>
    <t xml:space="preserve">EL CONTRATISTA SE OBLIGA CON EL DEPARTAMENTO A PRESTAR SUS SERVICIOS DE APOYO A LA GESTIóN, PARA COADYUVAR EN EL EJE INFORMATIVO, DE REPORTERíA Y PERIODISMO PROPUESTO EN EL PROYECTO COMUNICACIONAL DE PRENSA Y COMUNICACIONES DE LA GOBERNACIóN DE NARIñO. LO ANTERIOR DE CONFORMIDAD CON LOS DOCUMENTOS DEL PROCESO QUE HARáN PARTE INTEGRAL DEL CONTRATO    . </t>
  </si>
  <si>
    <t>LUIS ALBERTO CHAVES ARAUJO</t>
  </si>
  <si>
    <t>2020-08-05</t>
  </si>
  <si>
    <t>https://community.secop.gov.co/Public/Tendering/ContractNoticePhases/View?PPI=CO1.PPI.9329781&amp;isFromPublicArea=True&amp;isModal=False</t>
  </si>
  <si>
    <t xml:space="preserve">EL CONTRATISTA SE COMPROMETE A PRESTAR LOS SERVICIOS PROFESIONALES COMO ADMINISTRADOR DE EMPRESAS PARA APOYAR LA GESTION DE LA SUBSECRETARIA ADMINISTRATIVA Y FINANCIERA DE LA SECRETARIA DE EDUCACION DE NARIÑO. </t>
  </si>
  <si>
    <t>2020-09-29</t>
  </si>
  <si>
    <t xml:space="preserve">PRESTACION DE SERVICIOS PROFESIONALES PARA CONTRIBUIR CON EL FORTALECIMIENTO DE LA EDUCACION INCLUSIVA DEL DEPARTAMENTO DE NARIÑO.  </t>
  </si>
  <si>
    <t>IRLANDA YURANY BETANCOURTH RODRIGUEZ</t>
  </si>
  <si>
    <t xml:space="preserve">PRESTACIóN DE SERVICIOS PROFESIONALES PARA APOYAR EN LA FORMULACIóN, ESTRUCTURACIóN, VIABILIDAD, EJECUCIóN, SEGUIMIENTO Y MONITOREO DE PROYECTOS DE CALIDAD EDUCATIVA FINANCIADOS CON EL SISTEMA GENERAL DE REGALíAS U OTRAS FUENTES DE FINANCIACIóN </t>
  </si>
  <si>
    <t>EL O LA CONTRATISTA, SE COMPROMETE PARA CON EL DEPARTAMENTO A PRESTAR, POR SUS PROPIOS MEDIOS, CON PLENA AUTONOMIA TECNICA Y ADMINISTRATIVA, SUS SERVICIOS PROFESIONALES COMO GEOGRAFA CON ENFASIS EN PLANIFICACION REGIONAL PARA EL APOYO EN EL PROCESO QUE DEBE SURTIR EL ENTE TERRITORIAL EN LA FORMULACION, REVISION, EVALUACION Y APROBACION DE PROYECTOS PRESENTADOS A OCAD REGION PACIFICO, PARA SER FINANCIADOS CON RECURSOS DE SISTEMA GENERAL DE REGALIAS SGR, PARA EL DEPARTAMENTO DE NARIÑO. LO ANTERIOR DE CONFORMIDAD CON LOS DOCUMENTOS DEL PROCESO, QUE HACEN PARTE INTEGRAL DEL CONTRATO.</t>
  </si>
  <si>
    <t>ANA MILENA BETANCOURTH UBAQUE</t>
  </si>
  <si>
    <t>https://community.secop.gov.co/Public/Tendering/ContractNoticePhases/View?PPI=CO1.PPI.9332409&amp;isFromPublicArea=True&amp;isModal=False</t>
  </si>
  <si>
    <t xml:space="preserve">PRESTACIóN DE SERVICIOS PROFESIONALES COMO ECONOMISTA PARA APOYAR LA SUPERVISIóN, SEGUIMIENTO, MONITOREO Y CONTROL DEL PROGRAMA DE ALIMENTACIóN ESCOLAR – PAE </t>
  </si>
  <si>
    <t>LILY YAZMIN CORTES BURBANO</t>
  </si>
  <si>
    <t xml:space="preserve">PRESTACIóN DE SERVICIOS PROFESIONALES PARA APOYAR LA GESTIóN DE LA SUBSECRETARIA ADMINISTRATIVA Y FINANCIERA DE LA SECRETARIA DE EDUCACIóN DEPARTAMENTAL </t>
  </si>
  <si>
    <t>2020-09-22</t>
  </si>
  <si>
    <t xml:space="preserve">EL CONTRATISTA SE OBLIGA CON EL DEPARTAMENTO A PRESTAR SUS SERVICIOS PROFESIONALES, PARA APOYAR EL DESARROLLO DE ACTIVIDADES DE PUBLICIDAD, DISEñO GRáFICO Y ANIMACIóN, QUE CONTRIBUYAN A UNIFICAR CRITERIOS Y FORTALECER LA CAPACIDAD DE PRODUCCIóN GRáFICA EN EL CONTEXTO DEL PROYECTO COMUNICATIVO DE PRENSA Y COMUNICACIONES DE LA GOBERNACIóN DE NARIñ </t>
  </si>
  <si>
    <t>https://community.secop.gov.co/Public/Tendering/ContractNoticePhases/View?PPI=CO1.PPI.9339163&amp;isFromPublicArea=True&amp;isModal=False</t>
  </si>
  <si>
    <t>JONATHAN YEISON MADRIÑAN NOGUERA</t>
  </si>
  <si>
    <t>https://community.secop.gov.co/Public/Tendering/ContractNoticePhases/View?PPI=CO1.PPI.9340487&amp;isFromPublicArea=True&amp;isModal=False</t>
  </si>
  <si>
    <t xml:space="preserve">EL CONTRATISTA SE OBLIGA A PRESTAR SUS SERVICIOS PROFESIONALES, COMO ABOGADA PARA APOYAR EL DESARROLLO  DE  ACTIVIDADES JURíDICAS PROPIAS DEL ACTUAR JURíDICO DE PRENSA Y COMUNICACIONES DE LA  GOBERNACIóN DE NARIñO    . </t>
  </si>
  <si>
    <t>https://community.secop.gov.co/Public/Tendering/ContractNoticePhases/View?PPI=CO1.PPI.9342105&amp;isFromPublicArea=True&amp;isModal=False</t>
  </si>
  <si>
    <t xml:space="preserve">EL CONTRATISTA SE OBLIGA A PRESTAR POR SUS  PROPIOS MEDIOS Y CON PLENA AUTONOMíA SUS SERVICIOS PROFESIONALES COMO COMUNICADOR SOCIAL EN EL APOYO EN CUBRIMIENTO, PERIODISMO Y DIVULGACIóN DE LOS PROGRAMAS, EVENTOS  Y ACTIVIDADES DE LA DIRECCIóN ADMINISTRATIVA DE CULTURA Y LAS DEMáS DEPENDENCIAS QUE SE  LE ASIGNE . </t>
  </si>
  <si>
    <t>https://community.secop.gov.co/Public/Tendering/ContractNoticePhases/View?PPI=CO1.PPI.9342145&amp;isFromPublicArea=True&amp;isModal=False</t>
  </si>
  <si>
    <t xml:space="preserve">EL CONTRATISTA SE OBLIGA A PRESTAR SUS SERVICIOS PROFESIONALES, COMO ADMINISTRADORA DE EMPRESAS PARA APOYAR EL DESARROLLO   DE   ACTIVIDADES ADMINISTRATIVAS Y FINANCIERAS, PROPIAS DEL ACTUAR ADMINISTRATIVO DE PRENSA Y COMUNICACIONES DE LA GOBERNACIóN DE NARIñO. LO ANTERIOR DE CONFORMIDAD CON LOS DOCUMENTOS DEL PROCESO, QUE HARáN  PARTE INTEGRAL DEL CONTRATO </t>
  </si>
  <si>
    <t>https://community.secop.gov.co/Public/Tendering/ContractNoticePhases/View?PPI=CO1.PPI.9343404&amp;isFromPublicArea=True&amp;isModal=False</t>
  </si>
  <si>
    <t>JULIAN DAVID  PONCE MUÑOZ</t>
  </si>
  <si>
    <t>https://community.secop.gov.co/Public/Tendering/ContractNoticePhases/View?PPI=CO1.PPI.9343436&amp;isFromPublicArea=True&amp;isModal=False</t>
  </si>
  <si>
    <t xml:space="preserve">PRESTAR SUS SERVICIOS PROFESIONALES EN LA SUBSECRETARíA DE ECONOMíA REGIONAL Y AGUA POTABLE, DEL PLAN DEPARTAMENTAL PARA EL MANEJO EMPRESARIAL DE LOS SERVICIOS DE AGUA Y SANEAMIENTO –PDA- NARIñO, APOYANDO EN LA COORDINACIóN DE LOS TRáMITES Y PROCESOS DEL COMPONENTE FINANCIERO REQUERIDOS PARA EL DESARROLLO DE LOS OBJETIVOS DE LA POLíTICA DE AGUA Y SANEAMIENTO. </t>
  </si>
  <si>
    <t>MARY ELIZABETH EMBUS CORDOBA</t>
  </si>
  <si>
    <t xml:space="preserve">PRESTAR SUS SERVICIOS PROFESIONALES COMO ABOGADA, PARA APOYAR LAS ACTIVIDADES PROPIAS DEL
FONDO TERRITORIAL DE SEGURIDAD Y CONVIVENCIA – FONSET, EN LA SECRETARIA DE GOBIERNO
DEPARTAMENTAL. LO ANTERIOR DE CONFORMIDAD CON LOS DOCUMENTOS DEL PROCESO, QUE HACEN PARTE
INTEGRAL DEL CONTRATO </t>
  </si>
  <si>
    <t>2020-11-26</t>
  </si>
  <si>
    <t>https://community.secop.gov.co/Public/Tendering/ContractNoticePhases/View?PPI=CO1.PPI.9383627&amp;isFromPublicArea=True&amp;isModal=False</t>
  </si>
  <si>
    <t xml:space="preserve">PRESTACIóN DE SERVICIOS PROFESIONALES PARA CONTRIBUIR CON EL FORTALECIMIENTO DE LA EDUCACIóN INICIAL Y LA CALIDAD EDUCATIVA BAJO EL LIDERAZGO DE LA SUBSECRETARíA DE CALIDAD DE LA SECRETARíA DE EDUCACIóN. LO ANTERIOR DE CONFORMIDAD CON LOS DOCUMENTOS DEL PROCESO, QUE HACEN PARTE INTEGRAL DEL CONTRATO </t>
  </si>
  <si>
    <t xml:space="preserve">EL CONTRATISTA SE COMPROMETE CON EL DEPARTAMENTO A PRESTAR SUS SERVICIOS PROFESIONALES COMO INGENIERO CIVIL EN LA SUBSECRETARíA DE ECONOMíA REGIONAL Y AGUA POTABLE, PLAN DEPARTAMENTAL PARA EL MANEJO EMPRESARIAL DE LOS SERVICIOS DE AGUA Y SANEAMIENTO (PDA NARIñO), APOYANDO EL COMPONENTE TéCNICO. </t>
  </si>
  <si>
    <t>WILTON JAVIER ERAZO DULCE</t>
  </si>
  <si>
    <t xml:space="preserve">EL (A) CONTRATISTA SE COMPROMETE CON EL DEPARTAMENTO A PRESTAR SUS SERVICIOS PROFESIONALES EN LA SUBSECRETARíA DE ECONOMíA REGIONAL Y AGUA POTABLE, PLAN DEPARTAMENTAL PARA EL MANEJO EMPRESARIAL DE LOS SERVICIOS DE AGUA Y SANEAMIENTO (PDA), APOYANDO EN LOS TRAMITES Y PROCESOS DEL COMPONENTE DE PLANEACIÓN Y DESARROLLO INSTITUCIONAL PARA EL DESARROLLO DE LOS OBJETIVOS DE LA POLíTICA DE AGUA Y SANEAMIENTO. </t>
  </si>
  <si>
    <t>JORGE LUIS HIDALGO PASAJE</t>
  </si>
  <si>
    <t>LINA MARIA CAMERO NADER</t>
  </si>
  <si>
    <t xml:space="preserve">EL CONTRATISTA SE COMPROMETE PARA CON EL DEPARTAMENTO A PRESTAR SUS SERVICIOS PROFESIONALES COMO ABOGADO EN EL CUMPLIMIENTO DE ACTIVIDADES RELACIONADAS CON LA REALIZACIóN DE AUDITORíAS QUE ADELANTE LA OFICINA DE CONTROL INTERNO DE GESTIóN A LAS DISTINTAS DEPENDENCIAS DE LA GOBERNACIóN DE NARIñO, EN ASPECTOS JURíDICOS, CONTRACTUALES Y DE PROCESOS Y PROCEDIMIENTOS, EN EL MARCO DE SUS COMPETENCIAS. DE IGUAL MANERA, BRINDARá APOYO EN EL SEGUIMIENTO Y ATENCIóN A REQUERIMIENTOS REALIZADOS POR ENTES DE CONTROL, CONFORME SEA ENCOMENDADO POR LA SUPERVISORA. LO ANTERIOR DE CONFORMIDAD CON LOS DOCUMENTOS DEL PROCESO QUE HACEN PARTE INTEGRAL DEL CONTRATO. </t>
  </si>
  <si>
    <t>YENIFER BANESA AREVALO</t>
  </si>
  <si>
    <t>2020-08-24</t>
  </si>
  <si>
    <t>https://community.secop.gov.co/Public/Tendering/ContractNoticePhases/View?PPI=CO1.PPI.9424004&amp;isFromPublicArea=True&amp;isModal=False</t>
  </si>
  <si>
    <t xml:space="preserve">LA CONTRATISTA SE COMPROMETE CON EL DEPARTAMENTO A PRESTAR LOS SERVICIOS PROFESIONALES COMO INGENIERA AMBIENTAL, EN LA SUBSECRETARíA DE ECONOMíA REGIONAL Y AGUA POTABLE, PARA EL FORTALECIMIENTO DEL COMPONENTE DE ASEGURAMIENTO DE LA PRESTACIÓN DE LOS SERVICIOS DE AGUA POTABLE Y SANEAMIENTO BÁSICO, EN LOS PROCESOS  DEL PLAN DEPARTAMENTAL PARA EL MANEJO EMPRESARIAL DE LOS SERVICIOS DE  AGUA  POTABLE Y SANEAMIENTO PDA-NARIñO. </t>
  </si>
  <si>
    <t>ANGELA LUCILA CUAICAL CABRERA</t>
  </si>
  <si>
    <t xml:space="preserve">LA CONTRATISTA SE COMPROMETE CON EL DEPARTAMENTO A PRESTAR SUS SERVICIOS PROFESIONALES COMO INGENIERA AMBIENTAL PARA LA SUBSECRETARíA DE ECONOMíA REGIONAL Y AGUA POTABLE, PLAN DEPARTAMENTAL PARA EL MANEJO EMPRESARIAL DE LOS SERVICIOS DE  AGUA Y SANEAMIENTO DE NARIñO, ESPECIALMENTE EN LOS TRáMITES Y PROCESOS DEL COMPONENTE TÉCNICO Y GESTIÓN DEL RIESGO. </t>
  </si>
  <si>
    <t>BEATRIZ EUGENIA NARVAEZ ARTURO</t>
  </si>
  <si>
    <t>2020-11-28</t>
  </si>
  <si>
    <t xml:space="preserve">EL CONTRATISTA SE COMPROMETE CON EL DEPARTAMENTO A PRESTAR SUS SERVICIOS PROFESIONALES COMO INGENIERO SANITARIO Y AMBIENTAL, EN LA SUBSECRETARíA DE ECONOMíA REGIONAL Y AGUA POTABLE, PLAN DEPARTAMENTAL PARA EL MANEJO EMPRESARIAL DE LOS SERVICIOS DE AGUA Y SANEAMIENTO DE NARIñO, ESPECIALMENTE EN LOS TRáMITES Y PROCESOS DE CARáCTER TéCNICO REQUERIDOS EN EL COMPONENTE TÉCNICO. LO ANTERIOR DE CONFORMIDAD CON EL ESTUDIO PREVIO Y LA PROPUESTA, DOCUMENTOS QUE HACEN PARTE INTEGRAL DEL CONTRATO. </t>
  </si>
  <si>
    <t>ANDRES BURBANO ORTEGA</t>
  </si>
  <si>
    <t xml:space="preserve">PRESTAR SUS SERVICIOS PROFESIONALES EN LA SUBSECRETARíA DE ECONOMíA REGIONAL Y AGUA POTABLE, PLAN DEPARTAMENTAL PARA EL MANEJO EMPRESARIAL DE LOS SERVICIOS DE AGUA Y SANEAMIENTO (PDA- NARIñO), ESPECIALMENTE EN LOS TRáMITES Y PROCESOS DEL COMPONENTE FINANCIERO REQUERIDOS PARA LA CORRECTA EJECUCIóN DE LOS PROYECTOS DE LA DEPENDENCIA.  LO ANTERIOR DE CONFORMIDAD CON EL ESTUDIO PREVIO Y LA PROPUESTA, DOCUMENTOS QUE HACEN PARTE INTEGRAL DEL CONTRATO. </t>
  </si>
  <si>
    <t>REVECA CARLINA SOLARTE BENITEZ</t>
  </si>
  <si>
    <t xml:space="preserve">EL CONTRATISTA SE COMPROMETE CON EL DEPARTAMENTO A PRESTAR LOS SERVICIOS PROFESIONALES EN LA SUBSECRETARíA DE ECONOMíA REGIONAL Y AGUA POTABLE - PDA- NARIñO, ESPECIALMENTE EN EL DESARROLLO DE LAS ACTIVIDADES DEL COMPONENTE DE ASEGURAMIENTO ESTABLECIDAS EN EL PLAN DE ASEGURAMIENTO DE LA PRESTACIóN DE LOS SERVICIOS PúBLICOS DOMICILIARIOS PARA LOS MUNICIPIOS DEL DEPARTAMENTO DE NARIñO Y EN LOS DEMáS PROCESOS QUE SE ADELANTAN Y REQUIEREN DE SU PARTICIPACIóN. LO ANTERIOR DE CONFORMIDAD CON EL ESTUDIO PREVIO Y LA PROPUESTA, DOCUMENTOS QUE HACEN PARTE INTEGRAL DEL CONTRATO. </t>
  </si>
  <si>
    <t>JAIRO ORLANDO PAREDES TRUJILLO</t>
  </si>
  <si>
    <t xml:space="preserve">EL (A) CONTRATISTA SE COMPROMETE CON EL DEPARTAMENTO A PRESTAR SUS SERVICIOS PROFESIONALES COMO INGENIERA CIVIL EN LA SUBSECRETARíA DE ECONOMíA REGIONAL Y AGUA POTABLE, PLAN DEPARTAMENTAL PARA EL MANEJO EMPRESARIAL DE LOS SERVICIOS DE AGUA Y SANEAMIENTO (PDA NARIñO), APOYANDO EL COMPONENTE TéCNICO. LO ANTERIOR DE CONFORMIDAD CON EL ESTUDIO PREVIO Y LA PROPUESTA, DOCUMENTOS QUE HACEN PARTE INTEGRAL DEL CONTRATO. </t>
  </si>
  <si>
    <t>LEIDY LORENA TAPIA CORAL</t>
  </si>
  <si>
    <t xml:space="preserve">: EL CONTRATISTA SE COMPROMETE CON EL DEPARTAMENTO A PRESTAR SUS SERVICIOS PROFESIONALES COMO INGENIERO CIVIL, EN LA SUBSECRETARíA DE ECONOMíA REGIONAL Y AGUA POTABLE, PLAN DEPARTAMENTAL PARA EL MANEJO EMPRESARIAL DE LOS SERVICIOS DE AGUA Y SANEAMIENTO DE NARIñO, ESPECIALMENTE EN LOS TRáMITES Y PROCESOS DE CARáCTER TéCNICO REQUERIDOS EN EL COMPONENTE TÉCNICO. LO ANTERIOR DE CONFORMIDAD CON EL ESTUDIO PREVIO Y LA PROPUESTA, DOCUMENTOS QUE HACEN PARTE INTEGRAL DEL CONTRATO </t>
  </si>
  <si>
    <t>JAVIER ERNESTO GONZALEZ INSUASTY</t>
  </si>
  <si>
    <t>2020-08-10</t>
  </si>
  <si>
    <t xml:space="preserve">LA CONTRATISTA SE COMPROMETE CON EL DEPARTAMENTO A PRESTAR SUS SERVICIOS PROFESIONALES COMO INGENIERA CIVIL, EN LA SUBSECRETARíA DE ECONOMíA REGIONAL Y AGUA POTABLE, PLAN DEPARTAMENTAL PARA EL MANEJO EMPRESARIAL DE LOS SERVICIOS DE AGUA Y SANEAMIENTO DE NARIñO, ESPECIALMENTE EN LOS TRáMITES Y PROCESOS DE CARáCTER TéCNICO REQUERIDOS EN EL COMPONENTE TÉCNICO. LO ANTERIOR DE CONFORMIDAD CON EL ESTUDIO PREVIO Y LA PROPUESTA, DOCUMENTOS QUE HACEN PARTE INTEGRAL DEL CONTRATO </t>
  </si>
  <si>
    <t>MARCELA ENRIQUEZ GARCIA</t>
  </si>
  <si>
    <t>2020-09-25</t>
  </si>
  <si>
    <t xml:space="preserve">EL (A) CONTRATISTA SE COMPROMETE CON EL DEPARTAMENTO A PRESTAR SUS SERVICIOS PROFESIONALES EN LA SUBSECRETARíA DE ECONOMíA REGIONAL Y AGUA POTABLE, PLAN DEPARTAMENTAL PARA EL MANEJO EMPRESARIAL DE LOS SERVICIOS DE AGUA Y SANEAMIENTO (PDA), APOYANDO EN LA COORDINACIÓN DEL COMPONENTE DE PLANEACIÓN Y DESARROLLO INSTITUCIONAL REQUERIDO PARA LA CORRECTA EJECUCIóN DE LOS PROYECTOS DE LA DEPENDENCIA. </t>
  </si>
  <si>
    <t>GERARDO ANDRES RODRIGUEZ OSEJO</t>
  </si>
  <si>
    <t xml:space="preserve">EL CONTRATISTA SE COMPROMETE CON EL DEPARTAMENTO A  PRESTAR SUS SERVICIOS PROFESIONALES EN LA SUBSECRETARíA DE ECONOMíA REGIONAL Y AGUA POTABLE, PLAN DEPARTAMENTAL PARA EL MANEJO EMPRESARIAL DE LOS SERVICIOS DE AGUA Y SANEAMIENTO (PDA), APOYANDO EN LA COORDINACIÓN DEL COMPONENTE DE ASEGURAMIENTO DE LA PRESTACIÓN DE LOS SERVICIOS DE AGUA POTABLE Y SANEAMIENTO BÁSICO. </t>
  </si>
  <si>
    <t>IVAN DARIO RODRIGUEZ SANCHEZ</t>
  </si>
  <si>
    <t xml:space="preserve">EL CONTRATISTA SE OBLIGA A PRESTAR SUS SERVICIOS PROFESIONALES, COMO ABOGADA, APOYANDO PROCESOS SOCIALES Y JURíDICOS  DE LOS SUBPROGRAMAS, PRIORIZANDO EL SUBPROGRAMA DE INFANCIA  DE LA SECRETARIA DE GéNERO E INCLUSIóN SOCIAL  EN COORDINACIóN  CON EL DESPACHO DEL SEñOR GOBERNADOR, EN EL DEPARTAMENTO DE NARIñO    .       . </t>
  </si>
  <si>
    <t>MELISA FRANSINETH VIVAS RODRIGUEZ</t>
  </si>
  <si>
    <t>https://community.secop.gov.co/Public/Tendering/ContractNoticePhases/View?PPI=CO1.PPI.9566439&amp;isFromPublicArea=True&amp;isModal=False</t>
  </si>
  <si>
    <t xml:space="preserve">PRESTACIóN DE SERVICIOS PROFESIONALES COMO PSICóLOGO EN LA SUBSECRETARIA DE PAZ Y DERECHOS HUMANOS PARA BRINDAR APOYO EN LA IMPLEMENTACIóN DEL PROYECTO “FORTALECIMIENTO DE LA ATENCIóN A VíCTIMAS EN LA CONSTRUCCIóN COLECTIVA DE PAZ EN EL MARCO DEL POST CONFLICTO COLOMBIANO - II FASE” EN EL DEPARTAMENTO DE NARIñO, DENTRO DEL MARCO DE LA SUBVENCIóN SUSCRITA CON LA AGENCIA CATALANA DE DESARROLLO. LO ANTERIOR DE CONFORMIDAD CON LOS DOCUMENTOS DEL PROCESO, QUE HACEN PARTE INTEGRAL DEL CONTRATO </t>
  </si>
  <si>
    <t>2020-12-03</t>
  </si>
  <si>
    <t>https://community.secop.gov.co/Public/Tendering/ContractNoticePhases/View?PPI=CO1.PPI.9568087&amp;isFromPublicArea=True&amp;isModal=False</t>
  </si>
  <si>
    <t xml:space="preserve">PRESTACIóN DE SERVICIOS DE APOYO A LA GESTIóN EN LA SUBSECRETARíA DE PAZ Y DERECHOS HUMANOS PARA BRINDAR APOYO EN LA IMPLEMENTACIóN DEL PROYECTO “FORTALECIMIENTO DE LA ATENCIóN A VíCTIMAS EN LA CONSTRUCCIóN COLECTIVA DE PAZ EN EL MARCO DEL POST CONFLICTO COLOMBIANO - II FASE” EN EL DEPARTAMENTO DE NARIñO, DENTRO DEL MARCO DE LA SUBVENCIóN SUSCRITA CON LA AGENCIA CATALANA DE DESARROLLO. LO ANTERIOR DE CONFORMIDAD CON LOS DOCUMENTOS DEL PROCESO, QUE HACEN PARTE INTEGRAL DEL CONTRATO </t>
  </si>
  <si>
    <t>https://community.secop.gov.co/Public/Tendering/ContractNoticePhases/View?PPI=CO1.PPI.9569115&amp;isFromPublicArea=True&amp;isModal=False</t>
  </si>
  <si>
    <t xml:space="preserve">PRESTACIóN DE SERVICIOS PROFESIONALES COMO ABOGADA EN LA SUBSECRETARIA DE PAZ Y DERECHOS HUMANOS PARA BRINDAR APOYO EN LA IMPLEMENTACIóN DEL PROYECTO “FORTALECIMIENTO DE LA ATENCIóN A VíCTIMAS EN LA CONSTRUCCIóN COLECTIVA DE PAZ EN EL MARCO DEL POST CONFLICTO COLOMBIANO - II FASE” EN EL DEPARTAMENTO DE NARIñO, DENTRO DEL MARCO DE LA SUBVENCIóN SUSCRITA CON LA AGENCIA CATALANA DE DESARROLLO. LO ANTERIOR DE CONFORMIDAD CON LOS DOCUMENTOS DEL PROCESO, QUE HACEN PARTE INTEGRAL DEL CONTRATO </t>
  </si>
  <si>
    <t>https://community.secop.gov.co/Public/Tendering/ContractNoticePhases/View?PPI=CO1.PPI.9569449&amp;isFromPublicArea=True&amp;isModal=False</t>
  </si>
  <si>
    <t xml:space="preserve">PRESTACIóN DE SERVICIOS PROFESIONALES EN LA SUBSECRETARIA DE PAZ Y DERECHOS HUMANOS PARA BRINDAR APOYO EN LA IMPLEMENTACIóN DEL PROYECTO “FORTALECIMIENTO DE LA ATENCIóN A VíCTIMAS EN LA CONSTRUCCIóN COLECTIVA DE PAZ EN EL MARCO DEL POST CONFLICTO COLOMBIANO - II FASE” EN EL DEPARTAMENTO DE NARIñO, DENTRO DEL MARCO DE LA SUBVENCIóN SUSCRITA CON LA AGENCIA CATALANA DE DESARROLLO. LO ANTERIOR DE CONFORMIDAD CON LOS DOCUMENTOS DEL PROCESO, QUE HACEN PARTE INTEGRAL DEL CONTRATO </t>
  </si>
  <si>
    <t>2020-12-02</t>
  </si>
  <si>
    <t>https://community.secop.gov.co/Public/Tendering/ContractNoticePhases/View?PPI=CO1.PPI.9570017&amp;isFromPublicArea=True&amp;isModal=False</t>
  </si>
  <si>
    <t xml:space="preserve">PRESTACIóN   DE   SERVICIOS   PROFESIONALES   COMO   ARQUITECTOEN   LA   SECRETARIA   DE   GOBIERNO SUBSECRETARIA   DE   GESTIóN   PúBLICA,   PARA   APOYAREL   CUMPLIMIENTO   DEL   PROGRAMA   FE   EN COLOMBIA EJECUTADO POR LA VIGéSIMA TERCERABRIGADA DEL EJéRCITO NACIONAL EN ARTICULACIóN CON EL  DEPARTAMENTO  DE  NARIñO.  LO  ANTERIOR  DE  CONFORMIDAD  CON  LOS  DOCUMENTOS  DEL  PROCESO,  QUE HACEN PARTE INTEGRAL DEL CONTRATO </t>
  </si>
  <si>
    <t>ALVARO JOSE MONTENEGRO MUÑOZ</t>
  </si>
  <si>
    <t>https://community.secop.gov.co/Public/Tendering/ContractNoticePhases/View?PPI=CO1.PPI.9565394&amp;isFromPublicArea=True&amp;isModal=False</t>
  </si>
  <si>
    <t xml:space="preserve">PRESTACIóN DE SERVICIOS PROFESIONALES COMO COMUNICADOR (A) SOCIAL EN LA SECRETARIA DE GOBIERNO - SUBSECRETARIA DE GESTIóN PúBLICA, PARA APOYAR EL CUMPLIMIENTO DEL PROGRAMA FE EN COLOMBIA EJECUTADO POR LA VIGéSIMA TERCERA BRIGADA DEL EJéRCITO NACIONAL EN ARTICULACIóN CON EL DEPARTAMENTO DE NARIñO. LO ANTERIOR DE CONFORMIDAD CON LOS DOCUMENTOS DEL PROCESO, QUE HACEN PARTE INTEGRAL DEL CONTRATO. </t>
  </si>
  <si>
    <t>ADRIANA LORENA CAICEDO REYES</t>
  </si>
  <si>
    <t>[{"fecha_suscripcion'":"2020-09-04","fecha_legalizacion":"2020-09-15","tipo Adicion":"otra","valor":"0","tiempo":"otra-"}]</t>
  </si>
  <si>
    <t>https://community.secop.gov.co/Public/Tendering/ContractNoticePhases/View?PPI=CO1.PPI.9581401&amp;isFromPublicArea=True&amp;isModal=False</t>
  </si>
  <si>
    <t xml:space="preserve">EL CONTRATISTA SE OBLIGA A PRESTAR SUS SERVICIOS PROFESIONALES COMO 
ABOGADO EN LA OFICINA DE CONTROL INTERNO DISCIPLINARIO DE LA GOBERNACIóN DE NARIñO, CON IDONEIDAD Y CAPACIDAD SIGUIENDO LOS REQUERIMIENTOS Y DISPOSICIONES NORMATIVAS EN LA SUSTANCIACIóN Y TRáMITE DE LAS ACTUACIONES PROCESALES 
QUE SE ADELANTEN EN LA OFICINA, APLICANDO LAS DISPOSICIONES CONSTITUCIONALES Y LEGALES. LO ANTERIOR DE CONFORMIDAD 
CON LOS DOCUMENTOS DEL PROCESO, QUE HACEN PARTE INTEGRAL DEL CONTRATO. </t>
  </si>
  <si>
    <t>https://community.secop.gov.co/Public/Tendering/ContractNoticePhases/View?PPI=CO1.PPI.9567013&amp;isFromPublicArea=True&amp;isModal=False</t>
  </si>
  <si>
    <t>OBJETO:LA CONTRATISTA SE OBLIGA A PRESTAR SUS SERVICIOS PROFESIONALES EL CONTRATISTA SE OBLIGA A PRESTAR SUS SERVICIOS PROFESIONALES COMO ABOGADO EN LA OFICINA DE CONTROL INTERNO DISCIPLINARIO DE LA GOBERNACION DE NARIÑO, SIGUIENDO LOS REQUERIMIENTOS Y DISPOSICIONES NORMATIVAS EN LA SUSTANCIACION Y TRAMITE DE LAS ACTUACIONES PROCESALES QUE SE ADELANTEN EN LA DEPENDENCIA, APLICANDO LAS DISPOSICIONES CONSTITUCIONALES Y LEGALES PREVISTAS PARA EL EJERCICIO DEL PODER DISCIPLINARIO.</t>
  </si>
  <si>
    <t>CATHERINE JULIETH TIMANA MARTINEZ</t>
  </si>
  <si>
    <t>https://community.secop.gov.co/Public/Tendering/ContractNoticePhases/View?PPI=CO1.PPI.9575364&amp;isFromPublicArea=True&amp;isModal=False</t>
  </si>
  <si>
    <t xml:space="preserve">OBJETO:EL CONTRATISTA SE OBLIGA A PRESTAR SUS SERVICIOS PROFESIONALES COMO ABOGADO EN LA OFICINA DE CONTROL INTERNO DISCIPLINARIO DE LA GOBERNACIóN DE NARIñO, CON IDONEIDAD Y CAPACIDAD SIGUIENDO LOS REQUERIMIENTOS Y DISPOSICIONES NORMATIVAS EN LA SUSTANCIACIóN Y TRáMITE DE LAS ACTUACIONES PROCESALES QUE SE ADELANTEN EN LA OFICINA, APLICANDO LAS DISPOSICIONES CONSTITUCIONALES Y LEGALES. LO ANTERIOR DE CONFORMIDAD CON LOS DOCUMENTOS DEL PROCESO, QUE HACEN PARTE INTEGRAL DEL CONTRATO. </t>
  </si>
  <si>
    <t>CRISTIAN EDEN MELO QUETAMA</t>
  </si>
  <si>
    <t>https://community.secop.gov.co/Public/Tendering/ContractNoticePhases/View?PPI=CO1.PPI.9574439&amp;isFromPublicArea=True&amp;isModal=False</t>
  </si>
  <si>
    <t xml:space="preserve">PRESTACION DE SERVICIOS PROFESIONALES PARA REALIZAR LA DEPURACION DE PERSONAL SIN DEPOSITO, CHEQUES ANULADOS, Y DEUDAS PRESUNTAS O REAL CON LOS FONDOS PRIVADOS Y PUBLICOS DE PENSIONES, ENTRE OTROS, DE TAL MANERA QUE PERMITA ACTUALIZAR LOS APORTES DE PENSION DEL PERSONAL ADSCRITO A LA SECRETARIA DE EDUCACION DEPARTAMENTAL DE NARIÑO. </t>
  </si>
  <si>
    <t xml:space="preserve">PRESTACIóN  DE  SERVICIOS  PROFESIONALES COMO  GEóGRAFO  PARA APOYAR  LA  ACTUALIZACIóN  DEL PLAN DEPARTAMENTAL  DE  ATENCIóN  Y  PREVENCIóN  DE  DESASTRES,  HOY  PLAN DEPARTAMENTAL  DE GESTIóNDEL RIESGO DE DESASTRES PARA ELDEPARTAMENTO DE NARIñOSEGúN LO ESTABLECIDO EN LA POLíTICA NACIONAL DE GESTIóN DEL RIESGO LEY 1523 DE 2012 Y EL PLAN NACIONAL DE GESTIóN DEL RIESGO DE DESASTRES.LO ANTERIOR DE CONFORMIDAD CON LOS DOCUMENTOS DEL PROCESO, QUE HACEN PARTE INTEGRAL DEL CONTRATO </t>
  </si>
  <si>
    <t>DARIO VICENTE GOMEZ DIAZ</t>
  </si>
  <si>
    <t>https://community.secop.gov.co/Public/Tendering/ContractNoticePhases/View?PPI=CO1.PPI.9573551&amp;isFromPublicArea=True&amp;isModal=False</t>
  </si>
  <si>
    <t xml:space="preserve">PRESTACION DE SERVICIOS PROFESIONALES PARA APOYAR A LOS ESTABLECIMIENTOS EDUCATIVOS DE MUNICIPIOS NO CERTIFICADOS DEL DEPARTAMENTO DE NARIÑO, EN EL CONTROL Y MANEJO DE LOS RECURSOS PUBLICOS QUE SE ADMINISTRAN A TRAVES DE LOS FONDOS DE SERVICIOS EDUCATIVOS FSE. </t>
  </si>
  <si>
    <t xml:space="preserve">PRESTACIóN DE SERVICIOS PERSONALES PARA APOYAR EN LA GESTIóN ORGANIZACIONAL DE LA SECRETARíA DE EDUCACIóN </t>
  </si>
  <si>
    <t>2020-09-28</t>
  </si>
  <si>
    <t xml:space="preserve">PRESTACIóN DE SERVICIOS PROFESIONALES PARA APOYAR A LOS ESTABLECIMIENTOS EDUCATIVOS DE MUNICIPIOS NO CERTIFICADOS DEL DEPARTAMENTO DE NARIñO, EN EL CONTROL Y MANEJO DE LOS RECURSOS PúBLICOS QUE SE ADMINISTRAN A TRAVéS DE LOS FONDOS DE SERVICIOS EDUCATIVOS FSE </t>
  </si>
  <si>
    <t xml:space="preserve">PRESTACIóN DE SERVICIOS PERSONALES PARA APOYAR LA GESTIóN DE PRESTACIONES SOCIALES DE LA SECRETARíA DE EDUCACIóN DEPARTAMENTAL DE NARIñO </t>
  </si>
  <si>
    <t xml:space="preserve">PRESTACIóN DE SERVICIOS PROFESIONALES PARA REALIZAR LA DEPURACIóN DE PERSONAL SIN DEPOSITO, CHEQUES ANULADOS, Y DEUDAS PRESUNTAS O REAL CON LOS FONDOS PRIVADOS Y PúBLICOS DE PENSIONES, ENTRE OTROS, DE TAL MANERA QUE PERMITA ACTUALIZAR LOS APORTES DE PENSIóN DEL PERSONAL ADSCRITO A LA SECRETARíA DE EDUCACIóN DEPARTAMENTAL DE NARIñO </t>
  </si>
  <si>
    <t xml:space="preserve">PRESTACIóN DE SERVICIOS PROFESIONALES COMO PSICóLOGO (A) EN LA SECRETARIA DE GOBIERNO - SUBSECRETARIA DE GESTIóN PúBLICA, PARA APOYAR EL CUMPLIMIENTO DEL PROGRAMA FE EN COLOMBIA EJECUTADO POR LA VIGéSIMA TERCERA BRIGADA DEL EJéRCITO NACIONAL EN ARTICULACIóN CON EL DEPARTAMENTO DE NARIñO. LO ANTERIOR DE CONFORMIDAD CON LOS DOCUMENTOS DEL PROCESO, QUE HACEN PARTE INTEGRAL DEL CONTRATO. </t>
  </si>
  <si>
    <t>CATHERIN YAMILE CORDOBA MOSQUERA</t>
  </si>
  <si>
    <t>[{"fecha_suscripcion'":"2020-09-04","fecha_legalizacion":"2020-09-16","tipo Adicion":"otra","valor":"0","tiempo":"otra-"}]</t>
  </si>
  <si>
    <t>https://community.secop.gov.co/Public/Tendering/ContractNoticePhases/View?PPI=CO1.PPI.9581286&amp;isFromPublicArea=True&amp;isModal=False</t>
  </si>
  <si>
    <t xml:space="preserve">OBJETO:  PRESTACIóN DE SERVICIOS PROFESIONALES COMO INGENIERO (A) INDUSTRIAL EN LA SECRETARIA DE GOBIERNO - SUBSECRETARIA DE GESTIóN PúBLICA, PARA APOYAR EL CUMPLIMIENTO DEL PROGRAMA FE EN COLOMBIA EJECUTADO POR LA VIGéSIMA TERCERA BRIGADA DEL EJéRCITO NACIONAL EN ARTICULACIóN CON EL DEPARTAMENTO DE NARIñO. LO ANTERIOR DE CONFORMIDAD CON LOS DOCUMENTOS DEL PROCESO, QUE HACEN PARTE INTEGRAL DEL CONTRATO. </t>
  </si>
  <si>
    <t>MARIA JOSE DELGADO CASTILLO</t>
  </si>
  <si>
    <t>https://community.secop.gov.co/Public/Tendering/ContractNoticePhases/View?PPI=CO1.PPI.9584259&amp;isFromPublicArea=True&amp;isModal=False</t>
  </si>
  <si>
    <t xml:space="preserve">PRESTACIóN DE SERVICIOS PROFESIONALES COMO ABOGADO (A) EN LA SECRETARIA DE GOBIERNO - SUBSECRETARIA DE GESTIóN PúBLICA, PARA PRESTAR SUS SERVICIOS JURíDICOS EN EL CUMPLIMIENTO DEL PROGRAMA FE EN COLOMBIA EJECUTADO POR LA VIGéSIMA TERCERA BRIGADA DEL EJéRCITO NACIONAL EN ARTICULACIóN CON EL DEPARTAMENTO DE NARIñO. LO ANTERIOR DE CONFORMIDAD CON LOS DOCUMENTOS DEL PROCESO, QUE HACEN PARTE INTEGRAL DEL CONTRATO. </t>
  </si>
  <si>
    <t>JOHANA ELISABETH CRUZ CAICEDO</t>
  </si>
  <si>
    <t>https://community.secop.gov.co/Public/Tendering/ContractNoticePhases/View?PPI=CO1.PPI.9586835&amp;isFromPublicArea=True&amp;isModal=False</t>
  </si>
  <si>
    <t>OSCAR LEONARDO CALVACHE</t>
  </si>
  <si>
    <t>https://community.secop.gov.co/Public/Tendering/ContractNoticePhases/View?PPI=CO1.PPI.9586873&amp;isFromPublicArea=True&amp;isModal=False</t>
  </si>
  <si>
    <t xml:space="preserve">PRESTACIóN DE SERVICIOS PROFESIONALES, PARA APOYAR EN LA FORMULACIóN, EVALUACIóN Y SUPERVISIóN DE PROYECTOS ENCAMINADOS AL FORTALECIMIENTO DEL ROL DE JóVENES Y MUJERES EN EL SECTOR RURAL ASI COMO ACTIVIDADES Y PROYECTOS RELACIONADOS CON SEGURIDAD Y SOBERANIA ALIMENTARIA A CARGO DE LA SECRETARIA DE AGRICULTURA Y DESARROLLO RURAL DEL DEPARTAMENTO DE NARIñO. PRESTACIóN DE SERVICIOS PROFESIONALES, PARA APOYAR EN LA FORMULACIóN, EVALUACIóN Y SUPERVISIóN DE PROYECTOS ENCAMINADOS AL FORTALECIMIENTO DEL ROL DE JóVENES Y MUJERES EN EL SECTOR RURAL ASI COMO ACTIVIDADES Y PROYECTOS RELACIONADOS CON SEGURIDAD Y SOBERANIA ALIMENTARIA A CARGO DE LA SECRETARIA DE AGRICULTURA Y DESARROLLO RURAL DEL DEPARTAMENTO DE NARIñO. </t>
  </si>
  <si>
    <t>MARIA EUGENIA GAMEZ LOPEZ</t>
  </si>
  <si>
    <t>PRESTACION DE SERVICIOS PROFESIONALES COMO INGENIERO MECANICO, PARA APOYAR LAS ACCIONES DE REVISION TECNICA, SEGUIMIENTO Y CONTROL DE LOS PROYECTOS DE INVERSION EN EL COMPONENTE DE INFRAESTRUCTURA Y VIAS, ASI COMO DESPLEGAR SUS CONOCIMIENTOS Y EXPERIENCIA EN EL APOYO AL MANTENIMIENTO Y CONTROL DE LOS EQUIPOS DEL BANCO DE MAQUINARIA DEL DEPARTAMENTO.</t>
  </si>
  <si>
    <t>ALVARO JIOVANY MONTEZUMA SANCHEZ</t>
  </si>
  <si>
    <t>2020-09-03</t>
  </si>
  <si>
    <t>https://community.secop.gov.co/Public/Tendering/ContractNoticePhases/View?PPI=CO1.PPI.9588130&amp;isFromPublicArea=True&amp;isModal=False</t>
  </si>
  <si>
    <t xml:space="preserve">PRESTACIóN DE SERVICIOS PROFESIONALES COMO INGENIERO CIVIL PARA COADYUVAR EN EL SEGUIMIENTO, MANTENIMIENTO Y CONTROL DE LA MAQUINARIA PESADA DESTINADA A LA ATENCIóN DE EMERGENCIAS VIALES, PUNTOS CRíTICOS Y MANTENIMIENTO PREVENTIVO DE LA RED VIAL DEL DEPARTAMENTO LA CUAL ESTá A CARGO DE LA SECRETARíA DE INFRAESTRUCTURA Y MINAS DE LA GOBERNACIóN DE NARIñO, ASí COMO DESPLEGAR SU CONOCIMIENTO Y EXPERIENCIA EN LA COORDINACIóN E INSTRUCCIóN TéCNICA PERMANENTE A LOS OPERADORES DEL BANCO DE MAQUINARIA, RESPECTO AL MANTENIMIENTO DE VíAS, ACARREO DE MATERIALES Y COMPACTACIóN DE LOS MISMOS. </t>
  </si>
  <si>
    <t>https://community.secop.gov.co/Public/Tendering/ContractNoticePhases/View?PPI=CO1.PPI.9591744&amp;isFromPublicArea=True&amp;isModal=False</t>
  </si>
  <si>
    <t xml:space="preserve">EL CONTRATISTA SE COMPROMETE CON EL DEPARTAMENTO DE NARIñO A PRESTAR SUS SERVICIOS PROFESIONALES, PARA APOYAR EN LA SUPERVISIóN, TéCNICA, ADMINISTRATIVA Y FINANCIERA DEL PROYECTO IMPLEMENTACIÓN DE UN SISTEMA DE GESTIÓN DE INNOVACIÓN PARA LA INDUSTRIA DE NARIÑO, INNOVACIÓN MAS PAÍS, REALIZANDO EL SEGUIMIENTO, EVALUACIóN Y VERIFICACIóN DE LOS PROCESOS TéCNICOS, ADMINISTRATIVOS Y FINANCIEROS. LO ANTERIOR DE CONFORMIDAD CON LOS DOCUMENTOS DEL PROCESO, QUE HACEN PARTE INTEGRAL DEL CONTRATO. </t>
  </si>
  <si>
    <t>ROBERTO ANDRES MEZA LASSO</t>
  </si>
  <si>
    <t>2020-12-04</t>
  </si>
  <si>
    <t>https://community.secop.gov.co/Public/Tendering/ContractNoticePhases/View?PPI=CO1.PPI.9591336&amp;isFromPublicArea=True&amp;isModal=False</t>
  </si>
  <si>
    <t xml:space="preserve">EL CONTRATISTA SE COMPROMETE CON EL DEPARTAMENTO DE NARIñO A PRESTAR SUS SERVICIOS PROFESIONALES EN LA GOBERNACIóN DE NARIñO PARA APOYAR LA IMPLEMENTACIóN DE LA DIMENSIóN DE EVALUACIóN DE RESULTADOS ACORDE A LO ESTABLECIDO EN EL MODELO INTEGRADO DE PLANEACIóN Y GESTIóN SEGúN EL DECRETO 1499 DEL 11 DE SEPTIEMBRE DE 2017 </t>
  </si>
  <si>
    <t>MARIA CONSTANZA GUERRA CORDOBA</t>
  </si>
  <si>
    <t xml:space="preserve">LA CONTRATISTA SE OBLIGA A PRESTAR SUS SERVICIOS PROFESIONALES COMO ABOGADA PARA BRINDAR APOYO JURíDICO Y ADMINISTRATIVO EN ALMACéN GENERAL, DEPENDENCIA ADSCRITA A LA SECRETARIA GENERAL, REFERENTE A LOS TRáMITES Y PROCESOS ADMINISTRATIVOS Y/O JUDICIALES RELACIONADOS CON DICHA DEPENDENCIA. </t>
  </si>
  <si>
    <t>2020-08-28</t>
  </si>
  <si>
    <t>https://community.secop.gov.co/Public/Tendering/ContractNoticePhases/View?PPI=CO1.PPI.9984583&amp;isFromPublicArea=True&amp;isModal=False</t>
  </si>
  <si>
    <t xml:space="preserve">PRESTAR SUS SERVICIOS PROFESIONALES COMO COMUNICADOR(A) SOCIAL Y PERIODISTA PARA EL FORTALECIMIENTO
COMUNICACIONAL DE LA SECRETARIA DE GOBIERNO DEPARTAMENTAL. LO ANTERIOR DE CONFORMIDAD CON LOS
DOCUMENTOS DEL PROCESO, QUE HACEN PARTE INTEGRAL DEL CONTRATO. </t>
  </si>
  <si>
    <t>2020-12-12</t>
  </si>
  <si>
    <t>https://community.secop.gov.co/Public/Tendering/ContractNoticePhases/View?PPI=CO1.PPI.9839456&amp;isFromPublicArea=True&amp;isModal=False</t>
  </si>
  <si>
    <t xml:space="preserve">PRESTACIóN DE SERVICIOS PROFESIONALES COMO ABOGADO EN LA SECRETARIA DE GOBIERNO - SUBSECRETARIA DE GESTIóN PúBLICA, PARA APOYAR EL CUMPLIMIENTO DEL PROGRAMA FE EN COLOMBIA EJECUTADO POR LA VIGéSIMA TERCERA BRIGADA DEL EJéRCITO NACIONAL EN ARTICULACIóN CON EL DEPARTAMENTO DE NARIñO. LO ANTERIOR DE CONFORMIDAD CON LOS DOCUMENTOS DEL PROCESO, QUE HACEN PARTE INTEGRAL DEL CONTRATO. </t>
  </si>
  <si>
    <t>JONNATHAN NICOLAS MERA</t>
  </si>
  <si>
    <t>2020-12-29</t>
  </si>
  <si>
    <t>https://community.secop.gov.co/Public/Tendering/ContractNoticePhases/View?PPI=CO1.PPI.9838768&amp;isFromPublicArea=True&amp;isModal=False</t>
  </si>
  <si>
    <t>XIMENA DEL CARMEN ORTIZ CORDERO</t>
  </si>
  <si>
    <t>https://community.secop.gov.co/Public/Tendering/ContractNoticePhases/View?PPI=CO1.PPI.9837419&amp;isFromPublicArea=True&amp;isModal=False</t>
  </si>
  <si>
    <t xml:space="preserve">PRESTACIóN DE SERVICIOS PROFESIONALES COMO APOYO JURíDICO RELACIONADO CON LA GESTIóN DE PROYECTOS SUSCEPTIBLES DE SER FINANCIADOS CON EL FONDO DE CIENCIA TECNOLOGíA EN INNOVACIóN DEL SGR Y DEMáS ASPECTOS JURíDICOS QUE DEBAN SER ATENDIDOS POR LA SECRETARIA TIC DE INNOVACIóN Y GOBIERNO ABIERTO. LO ANTERIOR EN CONFORMIDAD CON LOS DOCUMENTOS DEL PROCESO QUE HACEN PARTE INTEGRAL DEL CONTRATO. </t>
  </si>
  <si>
    <t xml:space="preserve">EL CONTRATISTA SE COMPROMETE CON EL DEPARTAMENTO A PRESTAR SUS SERVICIOS PROFESIONALES COMO CONTADORA PARA APOYAR LAS ACTIVIDADES CONTABLES Y FINANCIERAS DE LA SUBSECRETARÍA DE PAZ Y DERECHOS HUMANOS Y BRINDAR ASESORIA A LAS ORGANIZACIONES DE VICTIMAS (OV) Y LAS ORGANIZACIONES DEFENSORAS DE LOS DERECHOS DE LAS VÍCTIMAS (ODV) EN TEMAS TRIBUTARIOS, ASÍ COMO BRINDAR ASESORIA CONTABLE EN LA FORMULACION DE PROYECTOS DE INICIATIVA DE LA MESA DEPARTAMENTAL DE VICTIMAS. LO ANTERIOR DE CONFORMIDAD CON LOS DOCUMENTOS DEL PROCESO, QUE HACEN PARTE INTEGRAL DEL CONTRATO. </t>
  </si>
  <si>
    <t>PAOLA BEATRIZ FIGUEROA GONZALEZ</t>
  </si>
  <si>
    <t xml:space="preserve">EL CONTRATISTA SE OBLIGA CON EL DEPARTAMENTO A PRESTAR LOS SERVICIOS DE APOYO A LA GESTIóN PARA REALIZAR IMPULSOS Y MERCADEO DE AGUARDIENTE NARIñO EN TODAS SUS REFERENCIAS Y PRESENTACIONES EN LOS ESTABLECIMIENTOS DE COMERCIO QUE EXPENDEN LICOR Y EN LOS SUPERMERCADOS TIPO A, B Y C Y EN ESTABLECIMIENTOS DE COMERCIO DE FORMATO TRADICIONAL QUE EXPENDEN LICOR TALES COMO: MAYORISTAS, LICORERAS Y TIENDAS DE BARRIO DE LOS DIFERENTES MUNICIPIOS DEL DEPARTAMENTO DE NARIñO. LO ANTERIOR DE CONFORMIDAD CON LOS DOCUMENTOS DEL PROCESO, QUE HACEN PARTE INTEGRAL DEL CONTRATO </t>
  </si>
  <si>
    <t>BIRGELINA MARIELA CUAICHAR CABRERA</t>
  </si>
  <si>
    <t xml:space="preserve">EL CONTRATISTA SE OBLIGA CON EL DEPARTAMENTO A PRESTAR LOS SERVICIOS DE APOYO A LA GESTIóN PARA REALIZAR IMPULSOS Y MERCADEO DE AGUARDIENTE NARIñO EN TODAS SUS REFERENCIAS Y PRESENTACIONES EN LOS ESTABLECIMIENTOS DE COMERCIO QUE EXPENDEN LICOR Y EN LOS SUPERMERCADOS TIPO A, B Y C Y EN ESTABLECIMIENTOS DE COMERCIO DE FORMATO TRADICIONAL QUE EXPENDEN LICOR TALES COMO: MAYORISTAS, LICORERAS Y TIENDAS DE BARRIO DE LOS DIFERENTES MUNICIPIOS DEL DEPARTAMENTO DE NARIñO. LO ANTERIOR DE CONFORMIDAD CON LOS DOCUMENTOS DEL PROCESO, QUE HACEN PARTE INTEGRAL DEL CONTRATO. </t>
  </si>
  <si>
    <t>DEIVY JAIR DELGADO BENAVIDES</t>
  </si>
  <si>
    <t>https://community.secop.gov.co/Public/Tendering/ContractNoticePhases/View?PPI=CO1.PPI.9840231&amp;isFromPublicArea=True&amp;isModal=False</t>
  </si>
  <si>
    <t xml:space="preserve">EL CONTRATISTA SE COMPROMETE CON EL DEPARTAMENTO A PRESTAR SUS SERVICIOS PROFESIONALES, COMO INGENIERO CIVIL, EN LA SUBSECRETARíA DE ECONOMíA REGIONAL Y AGUA POTABLE PLAN DEPARTAMENTAL PARA EL MANEJO EMPRESARIAL DE LOS SERVICIOS DE AGUA Y SANEAMIENTO (PDA) ESPECíFICAMENTE COMO APOYO A LA SUPERVISIóN DEL PROYECTO DENOMINADO “OPTIMIZACIÓN SISTEMA DE ACUEDUCTO DEL MUNICIPIO DE BARBACOAS, DEPARTAMENTO DE NARIÑO", PARA EL DESARROLLO DE LOS OBJETIVOS DE LA POLíTICA DE AGUA Y SANEAMIENTO. </t>
  </si>
  <si>
    <t>EDWIN ROLANDO CEBALLOS FREIRE</t>
  </si>
  <si>
    <t>PRESTACION DE SERVICIOS PROFESIONALES COMO ABOGADO A PARA APOYAR LA EJECUCION DEL PROGRAMA FE EN COLOMBIA EL CUAL SE DESARROLLARA ENTRE LA VIGESIMA TERCERA BRIGADA DEL EJERCITO NACIONAL EN ARTICULACION CON LA SECRETARIA DE GOBIERNO SUBSECRETARIA DE GESTION PUBLICA DEL DEPARTAMENTO DE NARIÑO. LO ANTERIOR DE CONFORMIDAD CON LOS DOCUMENTOS DEL PROCESO, QUE HACEN PARTE INTEGRAL DEL CONTRATO.</t>
  </si>
  <si>
    <t>MARIA CAMILA PAZ CABRERA</t>
  </si>
  <si>
    <t>https://community.secop.gov.co/Public/Tendering/ContractNoticePhases/View?PPI=CO1.PPI.9847863&amp;isFromPublicArea=True&amp;isModal=False</t>
  </si>
  <si>
    <t xml:space="preserve">PRESTACIóN DE SERVICIOS PROFESIONALES COMO INGENIERO (A) AGRóNOMO PARA REALIZAR EL APOYO Y ACOMPAñAMIENTO EN LA SECRETARIA DE GOBIERNO - SUBSECRETARIA DE GESTIóN PúBLICA, EN COORDINACIóN CON LA VIGéSIMA TERCERA BRIGADA DEL EJéRCITO NACIONAL PARA EL CUMPLIMIENTO DEL PROGRAMA FE EN COLOMBIA. LO ANTERIOR DE CONFORMIDAD CON LOS DOCUMENTOS DEL PROCESO, QUE HACEN PARTE INTEGRAL DEL CONTRATO. </t>
  </si>
  <si>
    <t>CARLOS FERNANDO MORENO GOMEZ</t>
  </si>
  <si>
    <t>[{"fecha_suscripcion'":"2020-09-04","fecha_legalizacion":"2020-09-18","tipo Adicion":"otra","valor":"0","tiempo":"otra-"}]</t>
  </si>
  <si>
    <t>https://community.secop.gov.co/Public/Tendering/ContractNoticePhases/View?PPI=CO1.PPI.9850419&amp;isFromPublicArea=True&amp;isModal=False</t>
  </si>
  <si>
    <t xml:space="preserve">PRESTACION DE SERVICIOS PROFESIONALES COMO INGENIERO (A) AGRONOMO EN LA SECRETARIA DE GOBIERNO – SUBSECRETARIA DE GESTION PUBLICA, PARA APOYAR EN COORDINACION CON LA VIGESIMA TERCERA BRIGADA DEL EJERCITO NACIONAL, LA EJECUCION DEL PROGRAMA FE EN COLOMBIA. LO ANTERIOR DE CONFORMIDAD CON LOS DOCUMENTOS DEL PROCESO, QUE HACEN PARTE INTEGRAL DEL CONTRATO. </t>
  </si>
  <si>
    <t>ELISABETH REYNA VELASQUEZ ARCINIEGAS</t>
  </si>
  <si>
    <t>https://community.secop.gov.co/Public/Tendering/ContractNoticePhases/View?PPI=CO1.PPI.9854708&amp;isFromPublicArea=True&amp;isModal=False</t>
  </si>
  <si>
    <t xml:space="preserve">PRESTACIóN DE SERVICIOS PROFESIONALES COMO INGENIERO (A) AGROFORESTAL EN LA SECRETARIA DE GOBIERNO - SUBSECRETARIA DE GESTIóN PúBLICA, PARA APOYAR EL CUMPLIMIENTO DEL PROGRAMA FE EN COLOMBIA. LO  EJECUTADO POR LA VIGéSIMA TERCERA BRIGADA DEL EJéRCITO NACIONAL EN ARTICULACIóN CON EL DEPARTAMENTO DE NARIñO. LO ANTERIOR DE CONFORMIDAD CON LOS DOCUMENTOS DEL PROCESO, QUE HACEN PARTE INTEGRAL DEL CONTRATO. </t>
  </si>
  <si>
    <t>GUIDO ORLANDO MOSQUERA TORRES</t>
  </si>
  <si>
    <t>https://community.secop.gov.co/Public/Tendering/ContractNoticePhases/View?PPI=CO1.PPI.9854770&amp;isFromPublicArea=True&amp;isModal=False</t>
  </si>
  <si>
    <t xml:space="preserve">PRESTACIóN DE SERVICIOS PROFESIONALES COMO ADMINISTRADOR (A) DE EMPRESAS EN LA SECRETARIA DE GOBIERNO - SUBSECRETARIA DE GESTIóN PúBLICA, PARA APOYAR EL CUMPLIMIENTO DEL PROGRAMA FE EN COLOMBIA  EJECUTADO POR LA VIGéSIMA TERCERA BRIGADA DEL EJéRCITO NACIONAL EN ARTICULACIóN CON EL DEPARTAMENTO DE NARIñO. LO ANTERIOR DE CONFORMIDAD CON LOS DOCUMENTOS DEL PROCESO, QUE HACEN PARTE INTEGRAL DEL CONTRATO. </t>
  </si>
  <si>
    <t>ALICIA LORENA GOMEZ ARCOS</t>
  </si>
  <si>
    <t xml:space="preserve">PRESTACIóN DE SERVICIOS PROFESIONALES COMO POLITóLOGO (A) EN LA SECRETARIA DE GOBIERNO - SUBSECRETARIA DE GESTIóN PúBLICA, PARA APOYAR EL CUMPLIMIENTO PROGRAMA FE EN COLOMBIA EJECUTADO POR LA VIGéSIMA TERCERA BRIGADA DEL EJéRCITO NACIONAL EN ARTICULACIóN CON EL DEPARTAMENTO DE NARIñO. LO ANTERIOR DE CONFORMIDAD CON LOS DOCUMENTOS DEL PROCESO, QUE HACEN PARTE INTEGRAL DEL CONTRATO. </t>
  </si>
  <si>
    <t xml:space="preserve">ANDRES ALBERTO ZUTTA VALLEJOS </t>
  </si>
  <si>
    <t>https://community.secop.gov.co/Public/Tendering/ContractNoticePhases/View?PPI=CO1.PPI.9857957&amp;isFromPublicArea=True&amp;isModal=False</t>
  </si>
  <si>
    <t xml:space="preserve">LA CONTRATISTA SE OBLIGA CON EL DEPARTAMENTO A PRESTAR SUS SERVICIOS PROFESIONALES COMO ABOGADA PARA APOYAR LAS ACTIVIDADES JURíDICAS QUE EJECUTA LA SUBSECRETARíA DE RENTAS DEL DEPARTAMENTO A TRAVéS DE LA OFICINA DE AGUARDIENTE NARIñO, LA OFICINA DE IMPUESTOS DE VEHíCULOS AUTOMOTORES Y DE REGISTRO, EL GRUPO OPERATIVO ANTICONTRABANDO Y DEMáS ASPECTOS JURíDICOS QUE DEBAN SER ATENDIDOS POR DICHA DEPENDENCIA </t>
  </si>
  <si>
    <t>MARIA MARCELA LEITON</t>
  </si>
  <si>
    <t>HECTOR EMILIO MONCAYO RODRIGUEZ</t>
  </si>
  <si>
    <t>https://community.secop.gov.co/Public/Tendering/ContractNoticePhases/View?PPI=CO1.PPI.9852885&amp;isFromPublicArea=True&amp;isModal=False</t>
  </si>
  <si>
    <t xml:space="preserve">EL CONTRATISTA SE COMPROMETE CON EL DEPARTAMENTO A PRESTAR SUS SERVICIOS PROFESIONALES COMO ABOGADO, EN LA SUBSECRETARíA DE ECONOMíA REGIONAL Y AGUA POTABLE, PLAN DEPARTAMENTAL PARA EL MANEJO EMPRESARIAL DE LOS SERVICIOS DE AGUA Y SANEAMIENTO DE NARIñO, ESPECIALMENTE EN LOS TRáMITES Y PROCESOS DEL COMPONENTE JURÍDICO. LO ANTERIOR DE CONFORMIDAD CON EL ESTUDIO PREVIO Y LA PROPUESTA, DOCUMENTOS QUE HACEN PARTE INTEGRAL DEL CONTRATO. </t>
  </si>
  <si>
    <t>EDISSON ARLEY GUERRERO JOSA</t>
  </si>
  <si>
    <t xml:space="preserve">PRESTACIóN DE SERVICIOS PROFESIONALES COMO SOCIóLOGO (A) EN LA SECRETARIA DE GOBIERNO - SUBSECRETARIA DE GESTIóN PúBLICA, PARA APOYAR EL CUMPLIMIENTO DEL PROGRAMA FE EN COLOMBIA EJECUTADO POR LA VIGéSIMA TERCERA BRIGADA DEL EJéRCITO NACIONAL EN ARTICULACIóN CON EL DEPARTAMENTO DE NARIñO. LO ANTERIOR DE CONFORMIDAD CON LOS DOCUMENTOS DEL PROCESO, QUE HACEN PARTE INTEGRAL DEL CONTRATO. </t>
  </si>
  <si>
    <t>PRESTACION DE SERVICIOS PROFESIONALES COMO PSICOLOGO A PARA APOYAR LA EJECUCION DEL PROGRAMA FE EN COLOMBIA EL CUAL SE DESARROLLARA ENTRE LA SECRETARIA DE GOBIERNO SUBSECRETARIA DE GESTION PUBLICA EN ARTICULACION CON LA VIGESIMA TERCERA BRIGADA DEL EJERCITO NACIONAL.</t>
  </si>
  <si>
    <t xml:space="preserve">PRESTACION DE SERVICIOS PROFESIONALES COMO INGENIERO (A) AGRONOMO PARA APOYAR LA EJECUCION DEL PROGRAMA FE EN COLOMBIA EN LA SECRETARIA DE GOBIERNO - SUBSECRETARIA DE GESTION PUBLICA EN ARTICULACION CON LA VIGESIMA TERCERA BRIGADA DEL EJERCITO NACIONAL. LO ANTERIOR DE CONFORMIDAD CON LOS DOCUMENTOS DEL PROCESO, QUE HACEN PARTE INTEGRAL DEL CONTRATO. </t>
  </si>
  <si>
    <t>ROBIN ANDRES CAICEDO PEREZ</t>
  </si>
  <si>
    <t xml:space="preserve">PRESTACIóN DE SERVICIOS PROFESIONALES COMO INGENIERO (A) CIVIL PARA APOYAR LA EJECUCIóN DEL PROGRAMA FE EN COLOMBIA EN LA SECRETARIA DE GOBIERNO - SUBSECRETARIA DE GESTIóN PúBLICA EN ARTICULACIóN CON LA VIGéSIMA TERCERA BRIGADA DEL EJéRCITO NACIONAL. LO ANTERIOR DE CONFORMIDAD CON LOS DOCUMENTOS DEL PROCESO, QUE HACEN PARTE INTEGRAL DEL CONTRATO </t>
  </si>
  <si>
    <t>WALTER FERNANDO RODRIGUEZ LOPEZ</t>
  </si>
  <si>
    <t>[{"fecha_suscripcion'":"2020-09-04","fecha_legalizacion":"2020-09-21","tipo Adicion":"otra","valor":"0","tiempo":"otra-"}]</t>
  </si>
  <si>
    <t>https://community.secop.gov.co/Public/Tendering/ContractNoticePhases/View?PPI=CO1.PPI.9852952&amp;isFromPublicArea=True&amp;isModal=False</t>
  </si>
  <si>
    <t xml:space="preserve">PRESTACIóN DE SERVICIOS PROFESIONALES COMO INGENIERO (A) CIVIL EN LA SUBSECRETARIA DE GESTION PUBLICA ADSCRITA A LA SECRETRIA DE GOBIERNO PARA APOYAR EL CUMPLIMIENTO DEL PROGRAMA FE EN COLOMBIA EL CUAL SE EJECUTARA EN ARTICULACION CON LA VIGéSIMA TERCERA BRIGADA DEL EJéRCITO NACIONAL EN ARTICULACIóN CON LA SECRETARIA DE GOBIERNO – SUBSECRETARIA DE GESTIóN PúBLICA DEL DEPARTAMENTO DE NARIñO. LO ANTERIOR DE CONFORMIDAD CON LOS DOCUMENTOS DEL PROCESO, QUE HACEN PARTE INTEGRAL DEL CONTRATO </t>
  </si>
  <si>
    <t>NIXON YOVANY TULCAN RAMOS</t>
  </si>
  <si>
    <t xml:space="preserve">PRESTACIÓN DE SERVICIOS DE APOYO A LA GESTIÓN COMO INTÉRPRETE DE LENGUA DE SEÑAS COLOMBIANA PARA LA ATENCIÓN EDUCATIVA DE LA POBLACIÓN SORDA USUARIA DE DICHA LENGUA MATRICULADA EN LOS ESTABLECIMIENTOS EDUCATIVOS DE LOS MUNICIPIOS NO CERTIFICADOS DEL DEPARTAMENTO DE NARIÑO. </t>
  </si>
  <si>
    <t>2020-10-08</t>
  </si>
  <si>
    <t>2020-12-13</t>
  </si>
  <si>
    <t xml:space="preserve">PRESTACIóN DE SERVICIOS PROFESIONALES COMO ADMINISTRADOR PúBLICO EN SECRETARIA DE GOBIERNO-SUBSECRETARIA DE GESTIóN PúBLICA , PARA APOYAR EL CUMPLIMIENTO DEL PROGRAMA FE EN COLOMBIA EJECUTADO POR LA VIGéSIMA TERCERA BRIGADA DEL EJéRCITO NACIONAL EN ARTICULACIóN CON EL DEPARTAMENTO DE NARIñO </t>
  </si>
  <si>
    <t>DIEGO FERNANDO FAJARDO BOLAñOS</t>
  </si>
  <si>
    <t xml:space="preserve">EL CONTRATISTA SE OBLIGA CON EL DEPARTAMENTO A PRESTAR LOS SERVICIOS PERSONALES DE APOYO A LA GESTIóN COMO OFICIAL DE CONSTRUCCIóN, REQUERIDOS POR EL EJéRCITO NACIONAL – BRIGADA DE CONTRUCCIONES – BATALLóN DE INGENIEROS MILITARES NO. 52, PARA LA EJECUCIóN DEL PROYECTO “MANTENIMIENTO, REHABILITACIóN Y PAVIMENTACIóN DE LA VíA JUNíN BARBACOAS ENTRE EL K27+000 (BUENAVISTA) Y K55+400 (CABECERA MUNICIPAL DE BARBACOAS Y SUS ACCESOS), DEPARTAMENTO DE NARIñO”. EN EL MARCO DEL CONVENIO INTERADMINISTRATIVO NO. 1632 DE 2013 SUSCRITO ENTRE EL EJéRCITO NACIONAL DE COLOMBIA CON EL DEPARTAMENTO DE NARIñO </t>
  </si>
  <si>
    <t>JAINER HOYOS LASSO</t>
  </si>
  <si>
    <t>EL CONTRATISTA SE COMPROMETE CON EL DEPARTAMENTO DE NARIÑO A PRESTAR SUS SERVICIOS PROFESIONALES COMO ABOGADO PARA APOYAR EN LA SUPERVISION, SEGUIMIENTO, EVALUACION Y VERIFICACION DE LOS PROCESOS TECNICOS, JURIDICOS, ADMINISTRATIVOS Y FINANCIEROS DEL PROYECTO “FORTALECIMIENTO DE CAPACIDADES REGIONALES EN INVESTIGACION, DESARROLLO TECNOLOGICO E INNOVACION EN EL DEPARTAMENTO DE NARIÑO”. LO ANTERIOR DE CONFORMIDAD CON LOS DOCUMENTOS DEL PROCESO, QUE HACEN PARTE INTEGRAL DEL CONTRATO.</t>
  </si>
  <si>
    <t>2020-12-19</t>
  </si>
  <si>
    <t>https://community.secop.gov.co/Public/Tendering/ContractNoticePhases/View?PPI=CO1.PPI.9976459&amp;isFromPublicArea=True&amp;isModal=False</t>
  </si>
  <si>
    <t xml:space="preserve">EL CONTRATISTA SE OBLIGA PARA CON EL DEPARTAMENTO A PRESTAR, POR SUS PROPIOS MEDIOS, CON PLENA AUTONOMíA TéCNICA Y ADMINISTRATIVA, SUS SERVICIOS PROFESIONALES COMO PSICóLOGO ESPECIALISTA EN POLíTICAS MIGRATORIAS, REALIZANDO EL SEGUIMIENTO Y EVALUACIóN A LAS POLíTICAS PúBLICAS DESDE LA PERSPECTIVA MIGRATORIA EN LOS SIETE SUBGRUPOS POBLACIONALES, EL SEGUIMIENTO Y EVALUACIóN AL PLAN DE ACCIóN DE LA SECRETARíA DE EQUIDAD DE GéNERO E INCLUSIóN SOCIAL  CON EL FIN DE COADYUVAR A LA CONSECUCIóN DE LAS METAS Y PROPóSITOS INTEGRALES DE LA DEPENDENCIA Y EL DEPARTAMENTO </t>
  </si>
  <si>
    <t>CAMILO FERNANDO DELGADO CAICEDO</t>
  </si>
  <si>
    <t xml:space="preserve">PRESTACION DE SERVICIOS PROFESIONALES COMO ABOGADO PARA APOYAR LA GESTION ADMINISTRATIVA Y CONTRACTUAL DE LA SECRETARIA DE EDUCACION. </t>
  </si>
  <si>
    <t>JESUS AUDELO RODRIGUEZ ÑAÑEZ</t>
  </si>
  <si>
    <t xml:space="preserve">PRESTACION DE SERVICIOS PROFESIONALES COMO LICENCIADA PARA CONTRIBUIR CON EL FORTALECIMIENTO DE LA CALIDAD EDUCATIVA, BAJO EL LIDERAZGO DE LA SUBSECRETARIA DE CALIDAD DE LA SECRETARIA DE EDUCACION. </t>
  </si>
  <si>
    <t xml:space="preserve">EL CONTRATISTA SE COMPROMETE PARA CON EL DEPARTAMENTO A PRESTAR SUS SERVICIOS PROFESIONALES COMO ABOGADO EN LAS ACTIVIDADES DE APOYO PARA EL DESARROLLO DE AUDITORíAS Y VERIFICACIONES EN EL áREA JURíDICA QUE ADELANTA LA OFICINA DE CONTROL INTERNO DE GESTIóN Y DE LOS PROCESOS QUE ADELANTAN LAS DIFERENTES DEPENDENCIAS DE LA ADMINISTRACIóN CENTRAL, ASí COMO EL SEGUIMIENTO A PLANES DE MEJORAMIENTO INTERNOS Y EXTERNOS SUSCRITOS POR LA GOBERNACIóN DE NARIñO CON LOS DISTINTOS ENTES DE CONTROL. LO ANTERIOR DE CONFORMIDAD CON LOS DOCUMENTOS DEL PROCESO QUE HACEN PARTE INTEGRAL DEL CONTRATO </t>
  </si>
  <si>
    <t>ADRIANA JOSEFINA MOLINA</t>
  </si>
  <si>
    <t xml:space="preserve">EL CONTRATISTA SE OBLIGA CON EL DEPARTAMENTO A PRESTAR SUS SERVICIOS PROFESIONALES DE COMUNICADORA SOCIAL Y PERIODISTA  PARA EL DESARROLLO DE LAS ACTIVIDADES RELACIONADAS CON COMUNICACIóN INTERNA DE LA GOBERNACIóN DE NARIñO, SIENDO RESPONSABLE DE LA GENERACIóN DE CONTENIDOS RELACIONADOS CON FUENTES DIRECTAS COMO ASAMBLEA DEPARTAMENTAL Y APOYO A LA SECRETARIA DE HACIENDA Y SUBSECRETARIA DE TRANSITO DEPARTAMENTAL EN EL CONTEXTO DEL PROYECTO COMUNICATIVO DE PRENSA Y COMUNICACIONES DE LA GOBERNACIóN DE NARIñO </t>
  </si>
  <si>
    <t>KATHERINE DEL CARMEN GUERRERO GUERRERO</t>
  </si>
  <si>
    <t>2020-12-20</t>
  </si>
  <si>
    <t xml:space="preserve">EL CONTRATISTA SE OBLIGA CON EL DEPARTAMENTO A PRESTAR SUS SERVICIOS PROFESIONALES COMO COMUNICADORA SOCIAL Y PERIODISTA,  PARA EL DESARROLLO DE LAS ACTIVIDADES DE PERIODISMO, GRABACIóN, FOTOGRAFíA,  REPORTERíA Y EDICIóN PARA LA DEPENDENCIA QUE SE LE ASIGNE, EN EL CONTEXTO DEL PROYECTO COMUNICATIVO DE PRENSA Y COMUNICACIONES DE LA GOBERNACIóN DE NARIñO. </t>
  </si>
  <si>
    <t xml:space="preserve">EL CONTRATISTA SE OBLIGA CON EL DEPARTAMENTO A PRESTAR SUS SERVICIOS PROFESIONALES, PARA EL DESARROLLO DE ACTIVIDADES DE PUBLICIDAD, REALIZADOR AUDIOVISUAL, CONTENIDOS PERIODISTICOS, COMUNICATIVOS,  GRABACION  Y PRODUCCION DE PIEZAS COMUNICATIVAS INSTITUCIONALES; EN EL CONTEXTO DEL PROYECTO COMUNICATIVO DE PRENSA Y COMUNICACIONES DE LA GOBERNACION DE NARIñO.  </t>
  </si>
  <si>
    <t>ADOLFO GOMEZJURADO PORTILLA</t>
  </si>
  <si>
    <t xml:space="preserve">EL CONTRATISTA SE OBLIGA CON EL DEPARTAMENTO A PRESTAR SUS SERVICIOS PROFESIONALES COMO COMUNICADORA SOCIAL Y PERIODISTA DE LA GOBERNACIóN DE NARIñO, EN EL DESARROLLO DE ACTIVIDADES PROPIAS DE SU PROFESIóN PARA LA IMPLEMENTACIóN Y EJECUCIóN DE PLANES DE COMUNICACIóN DIGITAL Y MANEJO DE REDES SOCIALES. </t>
  </si>
  <si>
    <t>https://community.secop.gov.co/Public/Tendering/ContractNoticePhases/View?PPI=CO1.PPI.9988002&amp;isFromPublicArea=True&amp;isModal=False</t>
  </si>
  <si>
    <t xml:space="preserve">LA CONTRATISTA SE OBLIGA A PRESTAR SUS SERVICIOS PROFESIONALES COMO ABOGADA EN LA OFICINA
DE CONTROL INTERNO DISCIPLINARIO DE LA GOBERNACIóN DE NARIÑO, CON IDONEIDAD Y CAPACIDAD SIGUIENDO LOS REQUERIMIENTOS Y DISPOSICIONES NORMATIVAS EN LA SUSTANCIACION Y TRAMITE DE LAS ACTUACIONES PROCESALES QUE SE ADELANTEN EN LA OFICINA, APLICANDO LAS DISPOSICIONES
CONSTITUCIONALES Y LEGALES. LO ANTERIOR DE CONFORMIDAD CON LOS DOCUMENTOS DEL PROCESO, QUE HACEN PARTE INTEGRAL DEL CONTRATO. </t>
  </si>
  <si>
    <t>ANGELA CRISTINA GONZALEZ VALENCIA</t>
  </si>
  <si>
    <t>https://community.secop.gov.co/Public/Tendering/ContractNoticePhases/View?PPI=CO1.PPI.10000429&amp;isFromPublicArea=True&amp;isModal=False</t>
  </si>
  <si>
    <t xml:space="preserve">EL (A) CONTRATISTA SE COMPROMETE CON EL DEPARTAMENTO A PRESTAR SUS SERVICIOS PROFESIONALES COMO ABOGADO (A) EN LA SUBSECRETARíA DE ECONOMíA REGIONAL Y AGUA POTABLE, PLAN DEPARTAMENTAL PARA EL MANEJO EMPRESARIAL DE LOS SERVICIOS DE AGUA Y SANEAMIENTO (PDA), COMO APOYO EN LA COORDINACIÓN DE LOS TRÁMITES Y PROCESOS DEL COMPONENTE JURÍDICO PARA EL DESARROLLO DE LOS OBJETIVOS DE LA POLíTICA DE AGUA Y SANEAMIENTO. LO ANTERIOR DE CONFORMIDAD CON LOS DOCUMENTOS DEL PROCESO, QUE HACEN PARTE INTEGRAL DEL CONTRATO. </t>
  </si>
  <si>
    <t>DIANA MARISOL ANDRADE MARTINEZ</t>
  </si>
  <si>
    <t xml:space="preserve">PRESTACIóN DE SERVICIOS PROFESIONALES PARA BRINDAR APOYO EN LA FORMULACIóN, EVALUACIóN, APOYO A LA SUPERVISIóN Y SEGUIMIENTO A LA  EJECUCIóN E IMPLEMENTACIóN DE LOS PROYECTOS PECUARIOS QUE SE ENCUENTREN A CARGO DE LA SECRETARíA DE AGRICULTURA Y DESARROLLO RURAL DEL DEPARTAMENTO DE NARIñO. </t>
  </si>
  <si>
    <t>EUDORO GERARDO BRAVO RUEDA</t>
  </si>
  <si>
    <t>https://community.secop.gov.co/Public/Tendering/ContractNoticePhases/View?PPI=CO1.PPI.9424051&amp;isFromPublicArea=True&amp;isModal=False</t>
  </si>
  <si>
    <t xml:space="preserve">EL CONTRATISTA DEBE PRESTAR POR SUS PROPIOS MEDIOS, CON PLENA AUTONOMíA TéCNICA Y ADMINISTRATIVA, LOS SERVICIOS COMO ENTRENADOR DEPORTIVO DE LA SELECCIóN NARIñO, EN LA DISCIPLINA DE FUTBOL SALA PARA LA RAMA MASCULINA Y FEMENINA, EN ASUNTOS RELACIONADOS CON EL FOMENTO, MASIFICACIóN Y PREPARACIóN DEPORTIVA DE ALTOS LOGROS Y ASí MISMO EN ASPECTOS DE CAPACITACIóN Y ORIENTACIóN DEPORTIVA DE LA LIGA NARIñENSE DE SORDOS, LINASOR </t>
  </si>
  <si>
    <t>IVAN DARIO ARTEAGA GUERRERO</t>
  </si>
  <si>
    <t xml:space="preserve">PRESTACION DEL SERVICIO DE APOYO A LA GESTION PARA EL DESARROLLO DE ACTIVIDADES DE SUSTANCIACION Y ACTUALIZACION DE ESTADOS, DENTRO DE LOS PROCESOS CONTRAVENCIONAL Y DE COBRO COACTIVO QUE ADELANTA LA SUBSECRETARIA DE TRANSITO Y TRANSPORTE DEL DEPARTAMENTO DE NARIÑO Y DEMAS ASPECTOS JURIDICOS DERIVADOS DE LAS SANCIONES IMPUESTAS POR INFRACCION A LAS NORMAS DE TRANSITO. LO ANTERIOR DE CONFORMIDAD CON LOS DOCUMENTOS DEL PROCESO, QUE HACEN PARTE INTEGRAL DEL CONTRATO. </t>
  </si>
  <si>
    <t>DIEGO RICARDO ROSERO PINZA</t>
  </si>
  <si>
    <t xml:space="preserve">PRESTAR SUS SERVICIOS DE APOYO A LA GESTIóN, EN LA SUBSECRETARíA DE ECONOMíA REGIONAL Y AGUA POTABLE, PLAN DEPARTAMENTAL PARA EL MANEJO EMPRESARIAL DE LOS SERVICIOS DE AGUA Y SANEAMIENTO PDA NARIñO EN EL COMPONENTE ADMINISTRATIVO. LO ANTERIOR DE CONFORMIDAD CON LOS DOCUMENTOS DEL PROCESO, QUE HACEN PARTE INTEGRAL DEL CONTRATO. </t>
  </si>
  <si>
    <t>JOSE ALFONSO TUTALCHA ORBES</t>
  </si>
  <si>
    <t xml:space="preserve">OBJETO DEL CONTRATO EL CONTRATISTA SE COMPROMETE CON EL DEPARTAMENTO A PRESTAR SUS SERVICIOS PROFESIONALES COMO INGENIERO  QUíMICO EN LA SUBSECRETARíA DE ECONOMíA REGIONAL Y AGUA POTABLE, PLAN DEPARTAMENTAL PARA EL MANEJO EMPRESARIAL DE LOS SERVICIOS DE AGUA Y SANEAMIENTO (PDA), APOYANDO EN LOS TRáMITES Y PROCESOS DEL COMPONENTE DE ASEGURAMIENTO DE LA PRESTACIÓN DE LOS SERVICIOS DE AGUA POTABLE Y SANEAMIENTO BÁSICO, REQUERIDOS PARA LA CORRECTA EJECUCIóN DE LOS PROYECTOS DE LA DEPENDENCIA. LO ANTERIOR DE CONFORMIDAD CON EL ESTUDIO PREVIO Y LA PROPUESTA, DOCUMENTOS QUE HACEN PARTE INTEGRAL DEL CONTRATO. </t>
  </si>
  <si>
    <t>EDWIN ALEXANDER RIVERA ROJAS</t>
  </si>
  <si>
    <t>MIGUEL ANGEL BENAVIDES CAMPAÑA</t>
  </si>
  <si>
    <t xml:space="preserve">EL CONTRATISTA SE OBLIGA PARA CON EL DEPARTAMENTO A PRESTAR
SUS SERVICIOS DE APOYO A LA GESTIóN COMO AUXILIAR JURíDICO PARA APOYAR EN LOS DIFERENTES PROCESOS Y TRáMITES JURíDICOS ATENDIDOS POR LA SECRETARíA DE HACIENDA DEL DEPARTAMENTO DE NARIñO </t>
  </si>
  <si>
    <t>INGRID LORENA RUALES MUÑOZ</t>
  </si>
  <si>
    <t>https://community.secop.gov.co/Public/Tendering/ContractNoticePhases/View?PPI=CO1.PPI.10148111&amp;isFromPublicArea=True&amp;isModal=False</t>
  </si>
  <si>
    <t xml:space="preserve">LA CONTRATISTA SE OBLIGA A PRESTAR SUS SERVICIOS DE APOYO A LA GESTIóN COMO AUXILIAR JURíDICO, FRENTE A LOS TRáMITES Y PROCESOS RELACIONADOS CON LA CONTRATACIóN Y DEMáS ASPECTOS JURíDICO
ADMINISTRATIVOS QUE DEBAN SER ATENDIDOS EN LA SECRETARIA GENERAL. </t>
  </si>
  <si>
    <t>KELLY NIYERETH BENAVIDES PRIETO</t>
  </si>
  <si>
    <t>2020-09-23</t>
  </si>
  <si>
    <t xml:space="preserve">PRESTACIÓN DE SERVICIOS PROFESIONALES PARA APOYAR EN LA GESTIÓN ORGANIZACIONAL DE LA SECRETARÍA DE EDUCACIÓN EN LO REFERENTE A GESTIÓN DE CALIDAD.  </t>
  </si>
  <si>
    <t>ALVARO ANDRES CORDOBA MUÑOZ</t>
  </si>
  <si>
    <t>LILIANA MERCEDES PALACIOS MOLINA</t>
  </si>
  <si>
    <t xml:space="preserve">OBJETO DEL CONTRATO: EL CONTRATISTA PRESTARA POR SUS PROPIOS MEDIOS CON PLENA 
AUTONOMíA TéCNICA Y ADMINISTRATIVA LOS SERVICIOS DE LICENCIADO EN EDUCACIóN FíSICA COMO APOYO A LA SECRETARIA DE RECREACIóN Y DEPORTE PARA LA EJECUCIóN DEL PROGRAMA ZARANDéATE NARIñO 2020 COMO 
ARTICULADOR HEVS – VAS DEPARTAMENTAL EN LOS MUNICIPIOS DE BUESACO, SAN PABLO Y CHACHAGUI </t>
  </si>
  <si>
    <t>LUIS ANDRES DAVID BURBANO</t>
  </si>
  <si>
    <t xml:space="preserve">OBJETO DEL CONTRATO: EL CONTRATISTA PRESTARA POR SUS PROPIOS MEDIOS CON PLENA AUTONOMíA TéCNICA Y ADMINISTRATIVA LOS SERVICIOS DE APOYO A LA GESTIóN A LA SECRETARIA DE RECREACIóN Y 
DEPORTE PARA LA EJECUCIóN DEL PROGRAMA ZARANDéATE MI NARIñO 2020 COMO MONITOR SENIOR EN LOS MUNICIPIOS 
DE SAN BERNARDO Y LA CRUZ </t>
  </si>
  <si>
    <t>FRANCISCO ANTONIO JURADO ROSALES</t>
  </si>
  <si>
    <t xml:space="preserve">EL CONTRATISTA SE COMPROMETE CON EL DEPARTAMENTO A PRESTAR
SUS SERVICIOS PROFESIONALES COMO ABOGADO (A), EN LA SUBSECRETARíA DE ECONOMíA REGIONAL Y AGUA POTABLE, PLAN DEPARTAMENTAL PARA EL MANEJO EMPRESARIAL DE LOS SERVICIOS DE AGUA Y SANEAMIENTO DE NARIñO, ESPECIALMENTE EN LOS TRáMITES Y PROCESOS DEL COMPONENTE JURÍDICO. LO ANTERIOR DE CONFORMIDAD CON EL ESTUDIO PREVIO Y LA PROPUESTA, DOCUMENTOS QUE HACEN PARTE INTEGRAL DEL CONTRATO. </t>
  </si>
  <si>
    <t>DAVID ESTEBAN BURBANO GARCIA</t>
  </si>
  <si>
    <t xml:space="preserve">EL (A) CONTRATISTA SE COMPROMETE CON EL DEPARTAMENTO A PRESTAR SUS SERVICIOS PROFESIONALES EN LA SUBSECRETARíA DE ECONOMíA REGIONAL Y AGUA POTABLE, PLAN DEPARTAMENTAL PARA EL MANEJO EMPRESARIAL DE LOS SERVICIOS DE AGUA Y SANEAMIENTO (PDA), APOYANDO EN LOS TRAMITES Y PROCESOS DEL COMPONENTE DE PLANEACIÓN Y DESARROLLO INSTITUCIONAL. LO ANTERIOR DE CONFORMIDAD CON EL ESTUDIO PREVIO Y LA PROPUESTA, DOCUMENTOS QUE HACEN PARTE INTEGRAL DEL CONTRATO. </t>
  </si>
  <si>
    <t>CAROL ELISA HIDALGO CAICEDO</t>
  </si>
  <si>
    <t xml:space="preserve">EL CONTRATISTA SE COMPROMETE CON EL DEPARTAMENTO A PRESTAR SUS SERVICIOS PROFESIONALES, EN LA SUBSECRETARíA DE ECONOMíA REGIONAL Y AGUA POTABLE, PLAN DEPARTAMENTAL PARA EL MANEJO EMPRESARIAL DE LOS SERVICIOS DE AGUA Y SANEAMIENTO DE NARIñO, ESPECIALMENTE EN LOS TRáMITES Y PROCESOS DEL COMPONENTE DE PLANEACION Y DESARROLLO INSTITUCIONAL.
LO ANTERIOR DE CONFORMIDAD CON EL ESTUDIO PREVIO Y LA PROPUESTA, DOCUMENTOS QUE HACEN PARTE INTEGRAL DEL CONTRATO. </t>
  </si>
  <si>
    <t>OSCAR GUSTAVO MEJIA ORDOÑEZ</t>
  </si>
  <si>
    <t xml:space="preserve">LA CONTRATISTA SE OBLIGA CON EL DEPARTAMENTO A PRESTAR SUS SERVICIOS INTEGRALES DE ASEO, CAFETERíA Y OFICIOS VARIOS, EN LAS DEPENDENCIAS DE LA GOBERNACIóN DE NARIñO CON EL FIN DE CONSERVAR Y MANTENER EN BUEN ESTADO LAS INSTALACIONES </t>
  </si>
  <si>
    <t>https://community.secop.gov.co/Public/Tendering/ContractNoticePhases/View?PPI=CO1.PPI.10150233&amp;isFromPublicArea=True&amp;isModal=False</t>
  </si>
  <si>
    <t>https://community.secop.gov.co/Public/Tendering/ContractNoticePhases/View?PPI=CO1.PPI.10150428&amp;isFromPublicArea=True&amp;isModal=False</t>
  </si>
  <si>
    <t xml:space="preserve">EL CONTRATISTA SE COMPROMETE CON EL DEPARTAMENTO EN LA PRESTACIóN DE SERVICIOS DE APOYO A LA GESTIóN EN EL COMPONENTE DE SISTEMAS DE INFORMACIóN EN LA SUBSECRETARíA DE PAZ Y DERECHOS HUMANOS. LO ANTERIOR DE CONFORMIDAD CON LOS DOCUMENTOS DEL PROCESO, QUE HACEN PARTE INTEGRAL DEL CONTRATO. </t>
  </si>
  <si>
    <t>BLANCA MIRIAM LOPEZ</t>
  </si>
  <si>
    <t xml:space="preserve">EL CONTRATISTA SE OBLIGA CON EL DEPARTAMENTO A PRESTAR SUS SERVICIOS PROFESIONALES COMO DISEñADOR GRáFICO EN LA OFICINA DE AGUARDIENTE NARIñO - SUBSECRETARIA DE RENTAS, PARA LA ELABORACIóN, DIGITALIZACIóN E ILUSTRACIóN DIGITAL SOBRE LA MAQUETA DE LA ETIQUETA EDICIóN ESPECIAL CARNAVALERA DE AGUARDIENTE NARIñO 2021. </t>
  </si>
  <si>
    <t>ESTEBAN ANDRES FAJARDO</t>
  </si>
  <si>
    <t xml:space="preserve">EL CONTRATISTA SE OBLIGA CON EL DEPARTAMENTO A PRESTAR LOS SERVICIOS PERSONALES DE APOYO EN LA GESTIóN DOCUMENTAL DEL ARCHIVO CENTRAL DEL DEPARTAMENTO DE NARIñO Y APOYAR CON LAS DEMáS ACTIVIDADES INHERENTES AL OBJETO CONTRACTUAL. LO ANTERIOR DE CONFORMIDAD CON LOS DOCUMENTOS DEL PROCESO, QUE HACEN PARTE INTEGRAL DEL CONTRATO. </t>
  </si>
  <si>
    <t>ANDRES DANILO DIAZ OJEDA</t>
  </si>
  <si>
    <t>HERNAN DARIO VILLOTA</t>
  </si>
  <si>
    <t xml:space="preserve">EL CONTRATISTA SE OBLIGA CON EL DEPARTAMENTO A PRESTAR SUS SERVICIOS PROFESIONALES, EN EL ARCHIVO GENERAL DE LA GOBERNACION DE NARIÑO, COMO APOYO EN LA COORDINACION A LA GESTION DOCUMENTAL Y APOYO CON LAS DEMáS ACTIVIDADES INHERENTES AL OBJETO CONTRACTUAL. LO ANTERIOR DE CONFORMIDAD CON LOS DOCUMENTOS DEL PROCESO, QUE HACEN PARTE INTEGRAL DEL CONTRATO. </t>
  </si>
  <si>
    <t>DALIA ALCIRA ROSERO HERRERA</t>
  </si>
  <si>
    <t xml:space="preserve">LA CONTRATISTA PRESTARA POR SUS PROPIOS MEDIOS CON PLENA AUTONOMíA TéCNICA Y ADMINISTRATIVA LOS SERVICIOS PROFESIONALES EN SU CALIDAD DE LICENCIADO EN EDUCACIóN FíSICA, COMO APOYO A LA SECRETARíA DE RECREACIóN Y DEPORTE PARA LA EJECUCIóN DEL PROGRAMA ZARANDéATE MI NARIñO 2020, COMO MONITOR PROFESIONAL DEPARTAMENTAL EN LOS MUNICIPIOS DE EL TAMBO Y EL PEÑOL DEL DEPARTAMENTO DE NARIñO. </t>
  </si>
  <si>
    <t>MILENA JACKELIN PISCAL BRAVO</t>
  </si>
  <si>
    <t xml:space="preserve">PRESTAR SUS SERVICIOS PROFESIONALES EN LA SUBSECRETARíA DE ECONOMíA REGIONAL Y AGUA POTABLE, DEL PLAN DEPARTAMENTAL PARA EL MANEJO EMPRESARIAL DE LOS SERVICIOS DE AGUA Y SANEAMIENTO –PDA- NARIñO, APOYANDO EN LOS TRáMITES Y PROCESOS DEL COMPONENTE FINANCIERO REQUERIDOS PARA EL DESARROLLO DE LOS OBJETIVOS DE LA POLíTICA DE AGUA Y
SANEAMIENTO. LO ANTERIOR DE CONFORMIDAD CON EL ESTUDIO PREVIO Y LA PROPUESTA, DOCUMENTOS QUE HACEN PARTE INTEGRAL DEL CONTRATO. </t>
  </si>
  <si>
    <t>YESSICA ANDREA VALENCIA SARMIENTO</t>
  </si>
  <si>
    <t xml:space="preserve">PRESTACIóN DE SERVICIOS PROFESIONALES COMO ABOGADA PARA BRINDAR ASISTENCIA JURíDICA A LA SECRETARíA GENERAL FRENTE A LOS TRáMITES Y PROCESOS ADMINISTRATIVOS Y/O JUDICIALES RELACIONADOS CON LOS BIENES INMUEBLES DEL DEPARTAMENTO DE NARIñO. LO ANTERIOR DE CONFORMIDAD CON LOS DOCUMENTOS DEL PROCESO, QUE HACEN PARTE INTEGRAL DEL CONTRATO. </t>
  </si>
  <si>
    <t>ALEJANDRA MARCELA ZAPATA BUITRON</t>
  </si>
  <si>
    <t>https://community.secop.gov.co/Public/Tendering/ContractNoticePhases/View?PPI=CO1.PPI.10175560&amp;isFromPublicArea=True&amp;isModal=False</t>
  </si>
  <si>
    <t xml:space="preserve">LA CONTRATISTA SE OBLIGA CON EL DEPARTAMENTO A PRESTAR SUS SERVICIOS DE APOYO A LA GESTIóN EN LA OFICINA AGUARDIENTE NARIñO, ADSCRITA A LA SECRETARíA DE HACIENDA - SUBSECRETARíA DE RENTAS, CONSISTENTE EN REALIZAR EL DISEñO GRáFICO PARA LIDERAR LAS DIFERENTES CAMPAñAS QUE LA DEPENDENCIA REQUIERA. </t>
  </si>
  <si>
    <t xml:space="preserve">EL CONTRATISTA SE OBLIGA PARA CON EL DEPARTAMENTO A PRESTAR SUS SERVICIOS DE APOYO A LA GESTIóN, EN DISEñO GRáFICO PARA COADYUVAR EN LA REALIZACIóN, EDICIóN Y MONTAJE DE LAS PIEZAS COMUNICATIVAS REQUERIDAS POR EL áREA DE PRENSA Y COMUNICACIONES DE LA GOBERNACIóN DE NARIñO, EN ARAS DE DE GENERAR INFORMACIóN PúBLICA A LA CIUDADANíA. </t>
  </si>
  <si>
    <t>https://community.secop.gov.co/Public/Tendering/ContractNoticePhases/View?PPI=CO1.PPI.10179885&amp;isFromPublicArea=True&amp;isModal=False</t>
  </si>
  <si>
    <t>MONICA ANDREA BASTIDAS</t>
  </si>
  <si>
    <t xml:space="preserve">EL CONTRATISTA SE OBLIGA CON EL DEPARTAMENTO A PRESTAR SUS SERVICIOS DE APOYO A LA GESTIÓN EN ALMACÉN GENERAL, DEPENDENCIA ADSCRITA A LA SECRETARIA GENERAL, PARA LA VERIFICACIÓN DE LOS BIENES MUEBLES QUE SE ENCUENTREN ASIGNADOS AL PERSONAL DE LA GOBERNACIÓN DE NARIÑO DE ACUERDO AL REPORTE DE ALMACÉN GENERAL, CON SU RESPECTIVA PROYECCIÓN DEL INFORME DOCUMENTAL, REGISTRO EN EL MODULO DE ALMACÉN SYSMAN Y DEMÁS ACTIVIDADES, NOVEDADES Y MODIFICACIONES QUE DEBAN SER ATENDIDAS EN EL ALMACÉN GENERAL. </t>
  </si>
  <si>
    <t xml:space="preserve">PRESTACIÓN DE SERVICIOS PROFESIONALES COMO ADMINISTRADORA DE EMPRESAS PARA APOYAR LA GESTIÓN DE LA SUBSECRETARIA ADMINISTRATIVA Y FINANCIERA. </t>
  </si>
  <si>
    <t xml:space="preserve">EL CONTRATISTA SE OBLIGA CON EL DEPARTAMENTO A PRESTAR SUS SERVICIOS PROFESIONALES EN ALMACéN GENERAL, DEPENDENCIA ADSCRITA A LA SECRETARíA GENERAL, CON EL FIN DE BRINDAR APOYO ADMINISTRATIVO EN LOS PROCESOS Y PROCEDIMIENTOS DE LEVANTAMIENTO DE INVENTARIO DE BIENES MUEBLES E INMUEBLES Y DEMáS ACTIVIDADES, NOVEDADES Y MODIFICACIONES QUE DEBAN SER ATENDIDAS EN DICHA DEPENDENCIA." </t>
  </si>
  <si>
    <t>HENRY ANTONIO BRICEÑO PRIETO</t>
  </si>
  <si>
    <t xml:space="preserve">EL CONTRATISTA PRESTARA LOS SERVICIOS PROFESIONALES EN SU CALIDAD DE LICENCIADO EN EDUCACIóN FíSICA, COMO APOYO A LA SECRETARíA DE RECREACIóN Y DEPORTE PARA LA EJECUCIóN DEL PROGRAMA ZARANDéATE MI NARIñO 2020," COMO MONITOR PROFESIONAL DEPARTAMENTAL EN LOS MUNICIPIOS DE ILES E IMUES DEL DEPARTAMENTO DE NARIñO. </t>
  </si>
  <si>
    <t>JAVIER ALEXANDER GOYES CHAMORRO</t>
  </si>
  <si>
    <t xml:space="preserve">OBJETO DEL CONTRATO: PRESTAR SUS SERVICIOS PROFESIONALES EN LA SUBSECRETARíA DE ECONOMíA REGIONAL Y AGUA POTABLE, DEL PLAN DEPARTAMENTAL PARA EL MANEJO EMPRESARIAL DE LOS SERVICIOS DE AGUA Y SANEAMIENTO PDA NARIñO, APOYANDO EN LOS TRáMITES Y PROCESOS DEL COMPONENTE FINANCIERO REQUERIDOS PARA EL DESARROLLO DE LOS OBJETIVOS DE LA POLíTICA DE AGUA Y SANEAMIENTO. LO ANTERIOR DE CONFORMIDAD CON EL ESTUDIO PREVIO Y LA PROPUESTA, DOCUMENTOS QUE HACEN PARTE INTEGRAL DEL CONTRATO. </t>
  </si>
  <si>
    <t>FREDY OLEARY LOPEZ RODRIGUEZ</t>
  </si>
  <si>
    <t xml:space="preserve">LA CONTRATISTA SE OBLIGA A PRESTAR SUS SERVICIOS PROFESIONALES COMO ABOGADA, FRENTE A TRáMITES Y PROCESOS RELACIONADOS CON LA CONTRATACIóN Y DEMáS ASPECTOS JURíDICOS EN ESPECIAL LOS NECESARIOS PARA EL FORTALECIMIENTO DEL CONOCIMIENTO, SALVAGUARDIA, APROPIACIóN Y DIFUSIóN DEL PATRIMONIO CULTURAL, QUE DEBAN SER ATENDIDOS EN LA DIRECCIóN ADMINISTRATIVA DE CULTURA DEL DEPARTAMENTO DE NARIñO DE CONFORMIDAD CON LOS DOCUMENTOS DEL PROCESO, QUE HACEN PARTE </t>
  </si>
  <si>
    <t xml:space="preserve">EL CONTRATISTA SE COMPROMETE CON EL DEPARTAMENTO DE NARIÑO A PRESTAR SUS SERVICIOS PROFESIONALES Y SU EXPERIENCIA EN INVESTIGACION Y ADMINISTRACION PARA LA EJECUCIóN PROYECTO FORTALECIMIENTO DEL SISTEMA DEPARTAMENTAL DE COMPETITIVIDAD, CIENCIA, TECNOLOGÍA E INNOVACIÓN DE NARIÑO </t>
  </si>
  <si>
    <t>JEAN CARLO VEGA CARCAMO</t>
  </si>
  <si>
    <t>2021-02-17</t>
  </si>
  <si>
    <t xml:space="preserve">EL CONTRATISTA SE COMPROMETE CON EL DEPARTAMENTO A PRESTAR SUS SERVICIOS PROFESIONALES COMO INGENIERO CIVIL, EN LA SUBSECRETARíA DE ECONOMíA REGIONAL Y AGUA POTABLE, PLAN DEPARTAMENTAL PARA EL MANEJO EMPRESARIAL DE LOS SERVICIOS DE AGUA Y SANEAMIENTO DE NARIñO, ESPECIALMENTE EN LOS TRáMITES Y PROCESOS DEL COMPONENTE INFRAESTRUCTURA, SEGUIMIENTO Y APOYO TÉCNICO. LO ANTERIOR DE CONFORMIDAD CON EL ESTUDIO PREVIO Y LA PROPUESTA, DOCUMENTOS QUE HACEN PARTE INTEGRAL DEL CONTRATO. </t>
  </si>
  <si>
    <t>ANDERSON ROLANDO OJEDA ENRIQUEZ</t>
  </si>
  <si>
    <t xml:space="preserve">LA CONTRATISTA SE COMPROMETE CON EL DEPARTAMENTO DE NARIñO A PRESTAR SUS SERVICIOS PROFESIONALES PARA LA EJECUCIóN DEL PROYECTO DENOMINADO: FORTALECIMIENTO DEL SISTEMA DEPARTAMENTAL DE COMPETITIVIDAD, CIENCIA, TECNOLOGÍA E INNOVACIÓN DE NARIÑO. </t>
  </si>
  <si>
    <t>2021-02-16</t>
  </si>
  <si>
    <t xml:space="preserve">LA CONTRATISTA SE OBLIGA CON EL DEPARTAMENTO, A PRESTAR SUS SERVICIOS DE
APOYO A LA GESTIóN EN LA SUBSECRETARíA DE RENTAS, EN EL PROCESO DE DETERMINACIóN Y LIQUIDACIóN DE LOS IMPUESTOS DE REGISTRO
Y VEHíCULOS AUTOMOTORES EN EL DEPARTAMENTO DE NARIñO, ORGANIZACIóN ARCHIVíSTICA Y LAS DEMáS ACTIVIDADES QUE SE DERIVEN
DE ESTE; DE CONFORMIDAD CON LOS DOCUMENTOS DEL PROCESO, QUE HACEN PARTE INTEGRAL DEL CONTRATO. </t>
  </si>
  <si>
    <t xml:space="preserve">OBJETO DEL CONTRATO: EL (LA) CONTRATISTA SE COMPROMETE CON EL DEPARTAMENTO A PRESTAR SUS SERVICIOS PROFESIONALES,  EN LA SUBSECRETARíA DE ECONOMíA REGIONAL Y AGUA POTABLE, PLAN DEPARTAMENTAL PARA EL MANEJO EMPRESARIAL DE LOS SERVICIOS DE AGUA Y SANEAMIENTO (PDA), APOYANDO EN LOS TRáMITES Y PROCESOS DEL COMPONENTE DE GESTIÓN SOCIAL SECTOR APSB, REQUERIDOS PARA LA CORRECTA EJECUCIóN DE LOS PROYECTOS DE LA DEPENDENCIA. LO ANTERIOR DE CONFORMIDAD CON EL ESTUDIO PREVIO Y LA PROPUESTA, DOCUMENTOS QUE HACEN PARTE INTEGRAL DEL CONTRATO. </t>
  </si>
  <si>
    <t>JOHANA PATRICIA ZAPATA TOBON</t>
  </si>
  <si>
    <t xml:space="preserve">EL CONTRATISTA SE COMPROMETE CON EL DEPARTAMENTO DE NARIñO A PRESTAR SUS SERVICIOS PROFESIONALES COMO ADMINISTRADOR DE NEGOCIOS INTERNACIONALES PARA LA EJECUCIóN DEL PROYECTO FORTALECIMIENTO DEL SISTEMA DEPARTAMENTAL DE COMPETITIVIDAD, CIENCIA, TECNOLOGÍA E INNOVACIÓN DE NARIÑO, IDENTIFICADO CON CóDIGO BPIN 2017000100098. </t>
  </si>
  <si>
    <t>LUIS CARLOS ENRIQUEZ ESTRADA</t>
  </si>
  <si>
    <t>2021-01-18</t>
  </si>
  <si>
    <t xml:space="preserve">EL CONTRATISTA SE OBLIGA CON EL DEPARTAMENTO A PRESTAR LOS SERVICIOS PERSONALES DE APOYO EN LA GESTIÓN DOCUMENTAL DEL ARCHIVO CENTRAL DEL DEPARTAMENTO DE NARIÑO Y APOYAR CON LAS DEMAS ACTIVIDADES INHERENTES AL OBJETO CONTRACTUAL. LO ANTERIOR DE CONFORMIDAD CON LOS DOCUMENTOS DEL PROCESO, QUE HACEN PARTE INTEGRAL DEL CONTRATO. </t>
  </si>
  <si>
    <t>MARIEN YANINE HERMOSA GARCÍA</t>
  </si>
  <si>
    <t xml:space="preserve">PRESTACIóN DE SERVICIOS PROFESIONALES PARA APOYAR LOS TRáMITES Y PROCESOS RELACIONADOS CON LA CONTRATACIóN Y DEMáS TRáMITES JURíDICOS Y ADMINISTRATIVOS QUE DEBAN SER ATENDIDOS EN LA SECRETARIA GENERAL – SUBSECRETARíA DE TALENTO HUMANO, DENTRO DEL PROGRAMA DE BIENESTAR SOCIAL INSTITUCIONAL, LO ANTERIOR DE CONFORMIDAD CON LOS DOCUMENTOS DEL PROCESO, LOS CUALES HACEN PARTE INTEGRAL DEL CONTRATO </t>
  </si>
  <si>
    <t>CHRISTIAN CAMILO CORDOBA MUNOZ</t>
  </si>
  <si>
    <t xml:space="preserve">PRESTACION DE SERVICIOS DE APOYO A LA GESTION, PARA APOYAR LA REALIZACION DE LOS DIFERENTES PROCESOS Y TRAMITES EN LA SEDE OPERATIVA DEL MUNICIPIO DE TANGUA, DE LA SUBSECRETARIA DE TRANSITO Y TRANSPORTE DEL DEPARTAMENTO DE NARIÑO. LO ANTERIOR DE CONFORMIDAD CON LOS DOCUMENTOS DEL PROCESO, QUE HACEN PARTE INTEGRAL DEL CONTRATO. </t>
  </si>
  <si>
    <t>TIRSA ELISA TIMANA DELGADO</t>
  </si>
  <si>
    <t xml:space="preserve">EL CONTRATISTA SE OBLIGA CON EL DEPARTAMENTO A PRESTAR SUS SERVICIOS PROFESIONALES COMO ABOGADA, APOYANDO AL DESPACHO DEL GOBERNADOR DE NARIñO, EN LA EJECUCIóN DE DIFERENTES ACTIVIDADES JURíDICAS QUE DEBAN SER ATENDIDAS EN DICHA DEPENDENCIA EN ESPECIAL DEL TEMA DE CONTRATACIóN. DE CONFORMIDAD CON LOS DOCUMENTOS DEL PROCESO QUE HACEN PARTE INTEGRAL DEL CONTRATO. </t>
  </si>
  <si>
    <t>JOHANNA MARCELA NARVAEZ VALENCIA</t>
  </si>
  <si>
    <t>ELINA MARIA RIASCOS POTOSI</t>
  </si>
  <si>
    <t xml:space="preserve">PRESTACIóN DE SERVICIOS PROFESIONALES COMO ABOGADO, APOYANDO A LA OFICINA ASESORA JURíDICA EN LA EJECUCIóN DE TODAS LAS ACTIVIDADES JURíDICAS QUE DEBAN SER ATENDIDAS EN DICHA DEPENDENCIA. LO ANTERIOR DE CONFORMIDAD CON LOS DOCUMENTOS DEL PROCESO, QUE HACEN PARTE INTEGRAL DEL CONTRATO. </t>
  </si>
  <si>
    <t>JESUS FERNANDO BELTRAN CHAVES</t>
  </si>
  <si>
    <t xml:space="preserve">EL (A) CONTRATISTA SE COMPROMETE CON EL DEPARTAMENTO A PRESTAR SUS SERVICIOS PROFESIONALES, EN LAS DEPENDENCIAS DE LA SUBSECRETARíA DE ECONOMíA REGIONAL Y AGUA POTABLE, DEL PLAN DEPARTAMENTAL DE AGUA DE NARIñO, ESPECIALMENTE EN LOS TRáMITES Y PROCESOS LLEVADOS A CABO EN EL COMPONENTE DE ASEGURAMIENTO DE LA PRESTACIÓN DE LOS SERVICIOS DE AGUA POTABLE Y SANEAMIENTO BÁSICO DEL PDA NARIñO. </t>
  </si>
  <si>
    <t>JHON JAMES MORILLO RIVERA</t>
  </si>
  <si>
    <t xml:space="preserve">EL CONTRATISTA SE COMPROMETE CON EL DEPARTAMENTO A PRESTAR SUS SERVICIOS PROFESIONALES COMO ABOGADO (A), EN LA SUBSECRETARíA DE ECONOMíA REGIONAL Y AGUA POTABLE, PLAN DEPARTAMENTAL PARA EL MANEJO EMPRESARIAL DE LOS SERVICIOS DE AGUA Y SANEAMIENTO DE NARIñO, ESPECIALMENTE EN LOS TRáMITES Y PROCESOS DEL COMPONENTE JURÍDICO. LO ANTERIOR DE CONFORMIDAD CON EL ESTUDIO PREVIO Y LA PROPUESTA,DOCUMENTOS QUE HACEN PARTE INTEGRAL DEL CONTRATO. </t>
  </si>
  <si>
    <t>DIANA ALEJANDRA ARTEAGA SALDAÑA</t>
  </si>
  <si>
    <t>12840755,20</t>
  </si>
  <si>
    <t>3462666,67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</si>
</sst>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4" x14ac:knownFonts="1">
    <font>
      <sz val="11"/>
      <color theme="1"/>
      <name val="Calibri"/>
      <family val="2"/>
      <scheme val="minor"/>
    </font>
    <font>
      <sz val="11"/>
      <color theme="1"/>
      <name val="Calibri"/>
      <family val="2"/>
      <scheme val="minor"/>
    </font>
    <font>
      <sz val="10"/>
      <color theme="1"/>
      <name val="Arial"/>
      <family val="2"/>
    </font>
    <font>
      <b/>
      <sz val="11"/>
      <color indexed="8"/>
      <name val="Calibri"/>
      <family val="2"/>
    </font>
  </fonts>
  <fills count="3">
    <fill>
      <patternFill patternType="none"/>
    </fill>
    <fill>
      <patternFill patternType="gray125"/>
    </fill>
    <fill>
      <patternFill patternType="solid">
        <fgColor theme="4" tint="0.59999389629810485"/>
        <bgColor indexed="8"/>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bottom style="medium">
        <color rgb="FFCCCCCC"/>
      </bottom>
      <diagonal/>
    </border>
  </borders>
  <cellStyleXfs count="2">
    <xf numFmtId="0" fontId="0" fillId="0" borderId="0"/>
    <xf numFmtId="164" fontId="1" fillId="0" borderId="0" applyFont="0" applyFill="0" applyBorder="0" applyAlignment="0" applyProtection="0"/>
  </cellStyleXfs>
  <cellXfs count="15">
    <xf numFmtId="0" fontId="0" fillId="0" borderId="0" xfId="0"/>
    <xf numFmtId="0" fontId="2" fillId="0" borderId="2" xfId="0" applyFont="1" applyBorder="1" applyAlignment="1">
      <alignment wrapText="1"/>
    </xf>
    <xf numFmtId="0" fontId="2" fillId="0" borderId="4" xfId="0" applyFont="1" applyBorder="1" applyAlignment="1">
      <alignment wrapText="1"/>
    </xf>
    <xf numFmtId="0" fontId="2" fillId="0" borderId="3" xfId="0" applyFont="1" applyBorder="1" applyAlignment="1">
      <alignment wrapText="1"/>
    </xf>
    <xf numFmtId="0" fontId="2" fillId="0" borderId="3" xfId="0" applyFont="1" applyBorder="1" applyAlignment="1">
      <alignment vertical="center"/>
    </xf>
    <xf numFmtId="0" fontId="2" fillId="0" borderId="3" xfId="0" applyFont="1" applyBorder="1" applyAlignment="1">
      <alignment horizontal="right" wrapText="1"/>
    </xf>
    <xf numFmtId="0" fontId="0" fillId="0" borderId="0" xfId="0" applyFill="1" applyProtection="1"/>
    <xf numFmtId="0" fontId="0" fillId="0" borderId="1" xfId="0" applyFill="1" applyBorder="1" applyProtection="1"/>
    <xf numFmtId="164" fontId="0" fillId="0" borderId="1" xfId="1" applyFont="1" applyFill="1" applyBorder="1" applyProtection="1"/>
    <xf numFmtId="164" fontId="0" fillId="0" borderId="0" xfId="1" applyFont="1" applyFill="1" applyProtection="1"/>
    <xf numFmtId="0" fontId="3" fillId="2" borderId="1" xfId="0" applyFont="1" applyFill="1" applyBorder="1" applyProtection="1"/>
    <xf numFmtId="164" fontId="3" fillId="2" borderId="1" xfId="1" applyFont="1" applyFill="1" applyBorder="1" applyProtection="1"/>
    <xf numFmtId="0" fontId="3" fillId="2" borderId="1" xfId="0" applyFont="1" applyFill="1" applyBorder="1" applyAlignment="1" applyProtection="1">
      <alignment wrapText="1"/>
    </xf>
    <xf numFmtId="0" fontId="0" fillId="0" borderId="1" xfId="0" applyFill="1" applyBorder="1" applyAlignment="1" applyProtection="1">
      <alignment wrapText="1"/>
    </xf>
    <xf numFmtId="0" fontId="0" fillId="0" borderId="0" xfId="0" applyFill="1" applyAlignment="1" applyProtection="1">
      <alignmen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5"/>
  <sheetViews>
    <sheetView tabSelected="1" workbookViewId="0">
      <selection activeCell="P1" sqref="P1:P1048576"/>
    </sheetView>
  </sheetViews>
  <sheetFormatPr baseColWidth="10" defaultRowHeight="15" x14ac:dyDescent="0.25"/>
  <cols>
    <col min="1" max="1" width="21.42578125" style="6" customWidth="1"/>
    <col min="2" max="2" width="9.140625" style="6" customWidth="1"/>
    <col min="3" max="3" width="13.42578125" style="6" customWidth="1"/>
    <col min="4" max="4" width="24.85546875" style="6" customWidth="1"/>
    <col min="5" max="5" width="29" style="6" customWidth="1"/>
    <col min="6" max="6" width="26.140625" style="6" customWidth="1"/>
    <col min="7" max="7" width="22.5703125" style="6" customWidth="1"/>
    <col min="8" max="8" width="26.7109375" style="6" bestFit="1" customWidth="1"/>
    <col min="9" max="9" width="9.140625" style="6" customWidth="1"/>
    <col min="10" max="10" width="37.28515625" style="6" customWidth="1"/>
    <col min="11" max="11" width="14.140625" style="9" bestFit="1" customWidth="1"/>
    <col min="12" max="12" width="21.5703125" style="6" bestFit="1" customWidth="1"/>
    <col min="13" max="13" width="15.7109375" style="6" customWidth="1"/>
    <col min="14" max="14" width="13.5703125" style="6" customWidth="1"/>
    <col min="15" max="15" width="9.140625" style="6" customWidth="1"/>
    <col min="16" max="16" width="54.7109375" style="14" customWidth="1"/>
    <col min="17" max="255" width="9.140625" style="6" customWidth="1"/>
    <col min="256" max="256" width="33" style="6" customWidth="1"/>
    <col min="257" max="257" width="9.140625" style="6" customWidth="1"/>
    <col min="258" max="258" width="13.42578125" style="6" customWidth="1"/>
    <col min="259" max="259" width="21.85546875" style="6" customWidth="1"/>
    <col min="260" max="260" width="21.7109375" style="6" customWidth="1"/>
    <col min="261" max="261" width="9.140625" style="6" customWidth="1"/>
    <col min="262" max="262" width="19.7109375" style="6" customWidth="1"/>
    <col min="263" max="268" width="9.140625" style="6" customWidth="1"/>
    <col min="269" max="269" width="15.7109375" style="6" customWidth="1"/>
    <col min="270" max="270" width="13.5703125" style="6" customWidth="1"/>
    <col min="271" max="511" width="9.140625" style="6" customWidth="1"/>
    <col min="512" max="512" width="33" style="6" customWidth="1"/>
    <col min="513" max="513" width="9.140625" style="6" customWidth="1"/>
    <col min="514" max="514" width="13.42578125" style="6" customWidth="1"/>
    <col min="515" max="515" width="21.85546875" style="6" customWidth="1"/>
    <col min="516" max="516" width="21.7109375" style="6" customWidth="1"/>
    <col min="517" max="517" width="9.140625" style="6" customWidth="1"/>
    <col min="518" max="518" width="19.7109375" style="6" customWidth="1"/>
    <col min="519" max="524" width="9.140625" style="6" customWidth="1"/>
    <col min="525" max="525" width="15.7109375" style="6" customWidth="1"/>
    <col min="526" max="526" width="13.5703125" style="6" customWidth="1"/>
    <col min="527" max="767" width="9.140625" style="6" customWidth="1"/>
    <col min="768" max="768" width="33" style="6" customWidth="1"/>
    <col min="769" max="769" width="9.140625" style="6" customWidth="1"/>
    <col min="770" max="770" width="13.42578125" style="6" customWidth="1"/>
    <col min="771" max="771" width="21.85546875" style="6" customWidth="1"/>
    <col min="772" max="772" width="21.7109375" style="6" customWidth="1"/>
    <col min="773" max="773" width="9.140625" style="6" customWidth="1"/>
    <col min="774" max="774" width="19.7109375" style="6" customWidth="1"/>
    <col min="775" max="780" width="9.140625" style="6" customWidth="1"/>
    <col min="781" max="781" width="15.7109375" style="6" customWidth="1"/>
    <col min="782" max="782" width="13.5703125" style="6" customWidth="1"/>
    <col min="783" max="1023" width="9.140625" style="6" customWidth="1"/>
    <col min="1024" max="1024" width="33" style="6" customWidth="1"/>
    <col min="1025" max="1025" width="9.140625" style="6" customWidth="1"/>
    <col min="1026" max="1026" width="13.42578125" style="6" customWidth="1"/>
    <col min="1027" max="1027" width="21.85546875" style="6" customWidth="1"/>
    <col min="1028" max="1028" width="21.7109375" style="6" customWidth="1"/>
    <col min="1029" max="1029" width="9.140625" style="6" customWidth="1"/>
    <col min="1030" max="1030" width="19.7109375" style="6" customWidth="1"/>
    <col min="1031" max="1036" width="9.140625" style="6" customWidth="1"/>
    <col min="1037" max="1037" width="15.7109375" style="6" customWidth="1"/>
    <col min="1038" max="1038" width="13.5703125" style="6" customWidth="1"/>
    <col min="1039" max="1279" width="9.140625" style="6" customWidth="1"/>
    <col min="1280" max="1280" width="33" style="6" customWidth="1"/>
    <col min="1281" max="1281" width="9.140625" style="6" customWidth="1"/>
    <col min="1282" max="1282" width="13.42578125" style="6" customWidth="1"/>
    <col min="1283" max="1283" width="21.85546875" style="6" customWidth="1"/>
    <col min="1284" max="1284" width="21.7109375" style="6" customWidth="1"/>
    <col min="1285" max="1285" width="9.140625" style="6" customWidth="1"/>
    <col min="1286" max="1286" width="19.7109375" style="6" customWidth="1"/>
    <col min="1287" max="1292" width="9.140625" style="6" customWidth="1"/>
    <col min="1293" max="1293" width="15.7109375" style="6" customWidth="1"/>
    <col min="1294" max="1294" width="13.5703125" style="6" customWidth="1"/>
    <col min="1295" max="1535" width="9.140625" style="6" customWidth="1"/>
    <col min="1536" max="1536" width="33" style="6" customWidth="1"/>
    <col min="1537" max="1537" width="9.140625" style="6" customWidth="1"/>
    <col min="1538" max="1538" width="13.42578125" style="6" customWidth="1"/>
    <col min="1539" max="1539" width="21.85546875" style="6" customWidth="1"/>
    <col min="1540" max="1540" width="21.7109375" style="6" customWidth="1"/>
    <col min="1541" max="1541" width="9.140625" style="6" customWidth="1"/>
    <col min="1542" max="1542" width="19.7109375" style="6" customWidth="1"/>
    <col min="1543" max="1548" width="9.140625" style="6" customWidth="1"/>
    <col min="1549" max="1549" width="15.7109375" style="6" customWidth="1"/>
    <col min="1550" max="1550" width="13.5703125" style="6" customWidth="1"/>
    <col min="1551" max="1791" width="9.140625" style="6" customWidth="1"/>
    <col min="1792" max="1792" width="33" style="6" customWidth="1"/>
    <col min="1793" max="1793" width="9.140625" style="6" customWidth="1"/>
    <col min="1794" max="1794" width="13.42578125" style="6" customWidth="1"/>
    <col min="1795" max="1795" width="21.85546875" style="6" customWidth="1"/>
    <col min="1796" max="1796" width="21.7109375" style="6" customWidth="1"/>
    <col min="1797" max="1797" width="9.140625" style="6" customWidth="1"/>
    <col min="1798" max="1798" width="19.7109375" style="6" customWidth="1"/>
    <col min="1799" max="1804" width="9.140625" style="6" customWidth="1"/>
    <col min="1805" max="1805" width="15.7109375" style="6" customWidth="1"/>
    <col min="1806" max="1806" width="13.5703125" style="6" customWidth="1"/>
    <col min="1807" max="2047" width="9.140625" style="6" customWidth="1"/>
    <col min="2048" max="2048" width="33" style="6" customWidth="1"/>
    <col min="2049" max="2049" width="9.140625" style="6" customWidth="1"/>
    <col min="2050" max="2050" width="13.42578125" style="6" customWidth="1"/>
    <col min="2051" max="2051" width="21.85546875" style="6" customWidth="1"/>
    <col min="2052" max="2052" width="21.7109375" style="6" customWidth="1"/>
    <col min="2053" max="2053" width="9.140625" style="6" customWidth="1"/>
    <col min="2054" max="2054" width="19.7109375" style="6" customWidth="1"/>
    <col min="2055" max="2060" width="9.140625" style="6" customWidth="1"/>
    <col min="2061" max="2061" width="15.7109375" style="6" customWidth="1"/>
    <col min="2062" max="2062" width="13.5703125" style="6" customWidth="1"/>
    <col min="2063" max="2303" width="9.140625" style="6" customWidth="1"/>
    <col min="2304" max="2304" width="33" style="6" customWidth="1"/>
    <col min="2305" max="2305" width="9.140625" style="6" customWidth="1"/>
    <col min="2306" max="2306" width="13.42578125" style="6" customWidth="1"/>
    <col min="2307" max="2307" width="21.85546875" style="6" customWidth="1"/>
    <col min="2308" max="2308" width="21.7109375" style="6" customWidth="1"/>
    <col min="2309" max="2309" width="9.140625" style="6" customWidth="1"/>
    <col min="2310" max="2310" width="19.7109375" style="6" customWidth="1"/>
    <col min="2311" max="2316" width="9.140625" style="6" customWidth="1"/>
    <col min="2317" max="2317" width="15.7109375" style="6" customWidth="1"/>
    <col min="2318" max="2318" width="13.5703125" style="6" customWidth="1"/>
    <col min="2319" max="2559" width="9.140625" style="6" customWidth="1"/>
    <col min="2560" max="2560" width="33" style="6" customWidth="1"/>
    <col min="2561" max="2561" width="9.140625" style="6" customWidth="1"/>
    <col min="2562" max="2562" width="13.42578125" style="6" customWidth="1"/>
    <col min="2563" max="2563" width="21.85546875" style="6" customWidth="1"/>
    <col min="2564" max="2564" width="21.7109375" style="6" customWidth="1"/>
    <col min="2565" max="2565" width="9.140625" style="6" customWidth="1"/>
    <col min="2566" max="2566" width="19.7109375" style="6" customWidth="1"/>
    <col min="2567" max="2572" width="9.140625" style="6" customWidth="1"/>
    <col min="2573" max="2573" width="15.7109375" style="6" customWidth="1"/>
    <col min="2574" max="2574" width="13.5703125" style="6" customWidth="1"/>
    <col min="2575" max="2815" width="9.140625" style="6" customWidth="1"/>
    <col min="2816" max="2816" width="33" style="6" customWidth="1"/>
    <col min="2817" max="2817" width="9.140625" style="6" customWidth="1"/>
    <col min="2818" max="2818" width="13.42578125" style="6" customWidth="1"/>
    <col min="2819" max="2819" width="21.85546875" style="6" customWidth="1"/>
    <col min="2820" max="2820" width="21.7109375" style="6" customWidth="1"/>
    <col min="2821" max="2821" width="9.140625" style="6" customWidth="1"/>
    <col min="2822" max="2822" width="19.7109375" style="6" customWidth="1"/>
    <col min="2823" max="2828" width="9.140625" style="6" customWidth="1"/>
    <col min="2829" max="2829" width="15.7109375" style="6" customWidth="1"/>
    <col min="2830" max="2830" width="13.5703125" style="6" customWidth="1"/>
    <col min="2831" max="3071" width="9.140625" style="6" customWidth="1"/>
    <col min="3072" max="3072" width="33" style="6" customWidth="1"/>
    <col min="3073" max="3073" width="9.140625" style="6" customWidth="1"/>
    <col min="3074" max="3074" width="13.42578125" style="6" customWidth="1"/>
    <col min="3075" max="3075" width="21.85546875" style="6" customWidth="1"/>
    <col min="3076" max="3076" width="21.7109375" style="6" customWidth="1"/>
    <col min="3077" max="3077" width="9.140625" style="6" customWidth="1"/>
    <col min="3078" max="3078" width="19.7109375" style="6" customWidth="1"/>
    <col min="3079" max="3084" width="9.140625" style="6" customWidth="1"/>
    <col min="3085" max="3085" width="15.7109375" style="6" customWidth="1"/>
    <col min="3086" max="3086" width="13.5703125" style="6" customWidth="1"/>
    <col min="3087" max="3327" width="9.140625" style="6" customWidth="1"/>
    <col min="3328" max="3328" width="33" style="6" customWidth="1"/>
    <col min="3329" max="3329" width="9.140625" style="6" customWidth="1"/>
    <col min="3330" max="3330" width="13.42578125" style="6" customWidth="1"/>
    <col min="3331" max="3331" width="21.85546875" style="6" customWidth="1"/>
    <col min="3332" max="3332" width="21.7109375" style="6" customWidth="1"/>
    <col min="3333" max="3333" width="9.140625" style="6" customWidth="1"/>
    <col min="3334" max="3334" width="19.7109375" style="6" customWidth="1"/>
    <col min="3335" max="3340" width="9.140625" style="6" customWidth="1"/>
    <col min="3341" max="3341" width="15.7109375" style="6" customWidth="1"/>
    <col min="3342" max="3342" width="13.5703125" style="6" customWidth="1"/>
    <col min="3343" max="3583" width="9.140625" style="6" customWidth="1"/>
    <col min="3584" max="3584" width="33" style="6" customWidth="1"/>
    <col min="3585" max="3585" width="9.140625" style="6" customWidth="1"/>
    <col min="3586" max="3586" width="13.42578125" style="6" customWidth="1"/>
    <col min="3587" max="3587" width="21.85546875" style="6" customWidth="1"/>
    <col min="3588" max="3588" width="21.7109375" style="6" customWidth="1"/>
    <col min="3589" max="3589" width="9.140625" style="6" customWidth="1"/>
    <col min="3590" max="3590" width="19.7109375" style="6" customWidth="1"/>
    <col min="3591" max="3596" width="9.140625" style="6" customWidth="1"/>
    <col min="3597" max="3597" width="15.7109375" style="6" customWidth="1"/>
    <col min="3598" max="3598" width="13.5703125" style="6" customWidth="1"/>
    <col min="3599" max="3839" width="9.140625" style="6" customWidth="1"/>
    <col min="3840" max="3840" width="33" style="6" customWidth="1"/>
    <col min="3841" max="3841" width="9.140625" style="6" customWidth="1"/>
    <col min="3842" max="3842" width="13.42578125" style="6" customWidth="1"/>
    <col min="3843" max="3843" width="21.85546875" style="6" customWidth="1"/>
    <col min="3844" max="3844" width="21.7109375" style="6" customWidth="1"/>
    <col min="3845" max="3845" width="9.140625" style="6" customWidth="1"/>
    <col min="3846" max="3846" width="19.7109375" style="6" customWidth="1"/>
    <col min="3847" max="3852" width="9.140625" style="6" customWidth="1"/>
    <col min="3853" max="3853" width="15.7109375" style="6" customWidth="1"/>
    <col min="3854" max="3854" width="13.5703125" style="6" customWidth="1"/>
    <col min="3855" max="4095" width="9.140625" style="6" customWidth="1"/>
    <col min="4096" max="4096" width="33" style="6" customWidth="1"/>
    <col min="4097" max="4097" width="9.140625" style="6" customWidth="1"/>
    <col min="4098" max="4098" width="13.42578125" style="6" customWidth="1"/>
    <col min="4099" max="4099" width="21.85546875" style="6" customWidth="1"/>
    <col min="4100" max="4100" width="21.7109375" style="6" customWidth="1"/>
    <col min="4101" max="4101" width="9.140625" style="6" customWidth="1"/>
    <col min="4102" max="4102" width="19.7109375" style="6" customWidth="1"/>
    <col min="4103" max="4108" width="9.140625" style="6" customWidth="1"/>
    <col min="4109" max="4109" width="15.7109375" style="6" customWidth="1"/>
    <col min="4110" max="4110" width="13.5703125" style="6" customWidth="1"/>
    <col min="4111" max="4351" width="9.140625" style="6" customWidth="1"/>
    <col min="4352" max="4352" width="33" style="6" customWidth="1"/>
    <col min="4353" max="4353" width="9.140625" style="6" customWidth="1"/>
    <col min="4354" max="4354" width="13.42578125" style="6" customWidth="1"/>
    <col min="4355" max="4355" width="21.85546875" style="6" customWidth="1"/>
    <col min="4356" max="4356" width="21.7109375" style="6" customWidth="1"/>
    <col min="4357" max="4357" width="9.140625" style="6" customWidth="1"/>
    <col min="4358" max="4358" width="19.7109375" style="6" customWidth="1"/>
    <col min="4359" max="4364" width="9.140625" style="6" customWidth="1"/>
    <col min="4365" max="4365" width="15.7109375" style="6" customWidth="1"/>
    <col min="4366" max="4366" width="13.5703125" style="6" customWidth="1"/>
    <col min="4367" max="4607" width="9.140625" style="6" customWidth="1"/>
    <col min="4608" max="4608" width="33" style="6" customWidth="1"/>
    <col min="4609" max="4609" width="9.140625" style="6" customWidth="1"/>
    <col min="4610" max="4610" width="13.42578125" style="6" customWidth="1"/>
    <col min="4611" max="4611" width="21.85546875" style="6" customWidth="1"/>
    <col min="4612" max="4612" width="21.7109375" style="6" customWidth="1"/>
    <col min="4613" max="4613" width="9.140625" style="6" customWidth="1"/>
    <col min="4614" max="4614" width="19.7109375" style="6" customWidth="1"/>
    <col min="4615" max="4620" width="9.140625" style="6" customWidth="1"/>
    <col min="4621" max="4621" width="15.7109375" style="6" customWidth="1"/>
    <col min="4622" max="4622" width="13.5703125" style="6" customWidth="1"/>
    <col min="4623" max="4863" width="9.140625" style="6" customWidth="1"/>
    <col min="4864" max="4864" width="33" style="6" customWidth="1"/>
    <col min="4865" max="4865" width="9.140625" style="6" customWidth="1"/>
    <col min="4866" max="4866" width="13.42578125" style="6" customWidth="1"/>
    <col min="4867" max="4867" width="21.85546875" style="6" customWidth="1"/>
    <col min="4868" max="4868" width="21.7109375" style="6" customWidth="1"/>
    <col min="4869" max="4869" width="9.140625" style="6" customWidth="1"/>
    <col min="4870" max="4870" width="19.7109375" style="6" customWidth="1"/>
    <col min="4871" max="4876" width="9.140625" style="6" customWidth="1"/>
    <col min="4877" max="4877" width="15.7109375" style="6" customWidth="1"/>
    <col min="4878" max="4878" width="13.5703125" style="6" customWidth="1"/>
    <col min="4879" max="5119" width="9.140625" style="6" customWidth="1"/>
    <col min="5120" max="5120" width="33" style="6" customWidth="1"/>
    <col min="5121" max="5121" width="9.140625" style="6" customWidth="1"/>
    <col min="5122" max="5122" width="13.42578125" style="6" customWidth="1"/>
    <col min="5123" max="5123" width="21.85546875" style="6" customWidth="1"/>
    <col min="5124" max="5124" width="21.7109375" style="6" customWidth="1"/>
    <col min="5125" max="5125" width="9.140625" style="6" customWidth="1"/>
    <col min="5126" max="5126" width="19.7109375" style="6" customWidth="1"/>
    <col min="5127" max="5132" width="9.140625" style="6" customWidth="1"/>
    <col min="5133" max="5133" width="15.7109375" style="6" customWidth="1"/>
    <col min="5134" max="5134" width="13.5703125" style="6" customWidth="1"/>
    <col min="5135" max="5375" width="9.140625" style="6" customWidth="1"/>
    <col min="5376" max="5376" width="33" style="6" customWidth="1"/>
    <col min="5377" max="5377" width="9.140625" style="6" customWidth="1"/>
    <col min="5378" max="5378" width="13.42578125" style="6" customWidth="1"/>
    <col min="5379" max="5379" width="21.85546875" style="6" customWidth="1"/>
    <col min="5380" max="5380" width="21.7109375" style="6" customWidth="1"/>
    <col min="5381" max="5381" width="9.140625" style="6" customWidth="1"/>
    <col min="5382" max="5382" width="19.7109375" style="6" customWidth="1"/>
    <col min="5383" max="5388" width="9.140625" style="6" customWidth="1"/>
    <col min="5389" max="5389" width="15.7109375" style="6" customWidth="1"/>
    <col min="5390" max="5390" width="13.5703125" style="6" customWidth="1"/>
    <col min="5391" max="5631" width="9.140625" style="6" customWidth="1"/>
    <col min="5632" max="5632" width="33" style="6" customWidth="1"/>
    <col min="5633" max="5633" width="9.140625" style="6" customWidth="1"/>
    <col min="5634" max="5634" width="13.42578125" style="6" customWidth="1"/>
    <col min="5635" max="5635" width="21.85546875" style="6" customWidth="1"/>
    <col min="5636" max="5636" width="21.7109375" style="6" customWidth="1"/>
    <col min="5637" max="5637" width="9.140625" style="6" customWidth="1"/>
    <col min="5638" max="5638" width="19.7109375" style="6" customWidth="1"/>
    <col min="5639" max="5644" width="9.140625" style="6" customWidth="1"/>
    <col min="5645" max="5645" width="15.7109375" style="6" customWidth="1"/>
    <col min="5646" max="5646" width="13.5703125" style="6" customWidth="1"/>
    <col min="5647" max="5887" width="9.140625" style="6" customWidth="1"/>
    <col min="5888" max="5888" width="33" style="6" customWidth="1"/>
    <col min="5889" max="5889" width="9.140625" style="6" customWidth="1"/>
    <col min="5890" max="5890" width="13.42578125" style="6" customWidth="1"/>
    <col min="5891" max="5891" width="21.85546875" style="6" customWidth="1"/>
    <col min="5892" max="5892" width="21.7109375" style="6" customWidth="1"/>
    <col min="5893" max="5893" width="9.140625" style="6" customWidth="1"/>
    <col min="5894" max="5894" width="19.7109375" style="6" customWidth="1"/>
    <col min="5895" max="5900" width="9.140625" style="6" customWidth="1"/>
    <col min="5901" max="5901" width="15.7109375" style="6" customWidth="1"/>
    <col min="5902" max="5902" width="13.5703125" style="6" customWidth="1"/>
    <col min="5903" max="6143" width="9.140625" style="6" customWidth="1"/>
    <col min="6144" max="6144" width="33" style="6" customWidth="1"/>
    <col min="6145" max="6145" width="9.140625" style="6" customWidth="1"/>
    <col min="6146" max="6146" width="13.42578125" style="6" customWidth="1"/>
    <col min="6147" max="6147" width="21.85546875" style="6" customWidth="1"/>
    <col min="6148" max="6148" width="21.7109375" style="6" customWidth="1"/>
    <col min="6149" max="6149" width="9.140625" style="6" customWidth="1"/>
    <col min="6150" max="6150" width="19.7109375" style="6" customWidth="1"/>
    <col min="6151" max="6156" width="9.140625" style="6" customWidth="1"/>
    <col min="6157" max="6157" width="15.7109375" style="6" customWidth="1"/>
    <col min="6158" max="6158" width="13.5703125" style="6" customWidth="1"/>
    <col min="6159" max="6399" width="9.140625" style="6" customWidth="1"/>
    <col min="6400" max="6400" width="33" style="6" customWidth="1"/>
    <col min="6401" max="6401" width="9.140625" style="6" customWidth="1"/>
    <col min="6402" max="6402" width="13.42578125" style="6" customWidth="1"/>
    <col min="6403" max="6403" width="21.85546875" style="6" customWidth="1"/>
    <col min="6404" max="6404" width="21.7109375" style="6" customWidth="1"/>
    <col min="6405" max="6405" width="9.140625" style="6" customWidth="1"/>
    <col min="6406" max="6406" width="19.7109375" style="6" customWidth="1"/>
    <col min="6407" max="6412" width="9.140625" style="6" customWidth="1"/>
    <col min="6413" max="6413" width="15.7109375" style="6" customWidth="1"/>
    <col min="6414" max="6414" width="13.5703125" style="6" customWidth="1"/>
    <col min="6415" max="6655" width="9.140625" style="6" customWidth="1"/>
    <col min="6656" max="6656" width="33" style="6" customWidth="1"/>
    <col min="6657" max="6657" width="9.140625" style="6" customWidth="1"/>
    <col min="6658" max="6658" width="13.42578125" style="6" customWidth="1"/>
    <col min="6659" max="6659" width="21.85546875" style="6" customWidth="1"/>
    <col min="6660" max="6660" width="21.7109375" style="6" customWidth="1"/>
    <col min="6661" max="6661" width="9.140625" style="6" customWidth="1"/>
    <col min="6662" max="6662" width="19.7109375" style="6" customWidth="1"/>
    <col min="6663" max="6668" width="9.140625" style="6" customWidth="1"/>
    <col min="6669" max="6669" width="15.7109375" style="6" customWidth="1"/>
    <col min="6670" max="6670" width="13.5703125" style="6" customWidth="1"/>
    <col min="6671" max="6911" width="9.140625" style="6" customWidth="1"/>
    <col min="6912" max="6912" width="33" style="6" customWidth="1"/>
    <col min="6913" max="6913" width="9.140625" style="6" customWidth="1"/>
    <col min="6914" max="6914" width="13.42578125" style="6" customWidth="1"/>
    <col min="6915" max="6915" width="21.85546875" style="6" customWidth="1"/>
    <col min="6916" max="6916" width="21.7109375" style="6" customWidth="1"/>
    <col min="6917" max="6917" width="9.140625" style="6" customWidth="1"/>
    <col min="6918" max="6918" width="19.7109375" style="6" customWidth="1"/>
    <col min="6919" max="6924" width="9.140625" style="6" customWidth="1"/>
    <col min="6925" max="6925" width="15.7109375" style="6" customWidth="1"/>
    <col min="6926" max="6926" width="13.5703125" style="6" customWidth="1"/>
    <col min="6927" max="7167" width="9.140625" style="6" customWidth="1"/>
    <col min="7168" max="7168" width="33" style="6" customWidth="1"/>
    <col min="7169" max="7169" width="9.140625" style="6" customWidth="1"/>
    <col min="7170" max="7170" width="13.42578125" style="6" customWidth="1"/>
    <col min="7171" max="7171" width="21.85546875" style="6" customWidth="1"/>
    <col min="7172" max="7172" width="21.7109375" style="6" customWidth="1"/>
    <col min="7173" max="7173" width="9.140625" style="6" customWidth="1"/>
    <col min="7174" max="7174" width="19.7109375" style="6" customWidth="1"/>
    <col min="7175" max="7180" width="9.140625" style="6" customWidth="1"/>
    <col min="7181" max="7181" width="15.7109375" style="6" customWidth="1"/>
    <col min="7182" max="7182" width="13.5703125" style="6" customWidth="1"/>
    <col min="7183" max="7423" width="9.140625" style="6" customWidth="1"/>
    <col min="7424" max="7424" width="33" style="6" customWidth="1"/>
    <col min="7425" max="7425" width="9.140625" style="6" customWidth="1"/>
    <col min="7426" max="7426" width="13.42578125" style="6" customWidth="1"/>
    <col min="7427" max="7427" width="21.85546875" style="6" customWidth="1"/>
    <col min="7428" max="7428" width="21.7109375" style="6" customWidth="1"/>
    <col min="7429" max="7429" width="9.140625" style="6" customWidth="1"/>
    <col min="7430" max="7430" width="19.7109375" style="6" customWidth="1"/>
    <col min="7431" max="7436" width="9.140625" style="6" customWidth="1"/>
    <col min="7437" max="7437" width="15.7109375" style="6" customWidth="1"/>
    <col min="7438" max="7438" width="13.5703125" style="6" customWidth="1"/>
    <col min="7439" max="7679" width="9.140625" style="6" customWidth="1"/>
    <col min="7680" max="7680" width="33" style="6" customWidth="1"/>
    <col min="7681" max="7681" width="9.140625" style="6" customWidth="1"/>
    <col min="7682" max="7682" width="13.42578125" style="6" customWidth="1"/>
    <col min="7683" max="7683" width="21.85546875" style="6" customWidth="1"/>
    <col min="7684" max="7684" width="21.7109375" style="6" customWidth="1"/>
    <col min="7685" max="7685" width="9.140625" style="6" customWidth="1"/>
    <col min="7686" max="7686" width="19.7109375" style="6" customWidth="1"/>
    <col min="7687" max="7692" width="9.140625" style="6" customWidth="1"/>
    <col min="7693" max="7693" width="15.7109375" style="6" customWidth="1"/>
    <col min="7694" max="7694" width="13.5703125" style="6" customWidth="1"/>
    <col min="7695" max="7935" width="9.140625" style="6" customWidth="1"/>
    <col min="7936" max="7936" width="33" style="6" customWidth="1"/>
    <col min="7937" max="7937" width="9.140625" style="6" customWidth="1"/>
    <col min="7938" max="7938" width="13.42578125" style="6" customWidth="1"/>
    <col min="7939" max="7939" width="21.85546875" style="6" customWidth="1"/>
    <col min="7940" max="7940" width="21.7109375" style="6" customWidth="1"/>
    <col min="7941" max="7941" width="9.140625" style="6" customWidth="1"/>
    <col min="7942" max="7942" width="19.7109375" style="6" customWidth="1"/>
    <col min="7943" max="7948" width="9.140625" style="6" customWidth="1"/>
    <col min="7949" max="7949" width="15.7109375" style="6" customWidth="1"/>
    <col min="7950" max="7950" width="13.5703125" style="6" customWidth="1"/>
    <col min="7951" max="8191" width="9.140625" style="6" customWidth="1"/>
    <col min="8192" max="8192" width="33" style="6" customWidth="1"/>
    <col min="8193" max="8193" width="9.140625" style="6" customWidth="1"/>
    <col min="8194" max="8194" width="13.42578125" style="6" customWidth="1"/>
    <col min="8195" max="8195" width="21.85546875" style="6" customWidth="1"/>
    <col min="8196" max="8196" width="21.7109375" style="6" customWidth="1"/>
    <col min="8197" max="8197" width="9.140625" style="6" customWidth="1"/>
    <col min="8198" max="8198" width="19.7109375" style="6" customWidth="1"/>
    <col min="8199" max="8204" width="9.140625" style="6" customWidth="1"/>
    <col min="8205" max="8205" width="15.7109375" style="6" customWidth="1"/>
    <col min="8206" max="8206" width="13.5703125" style="6" customWidth="1"/>
    <col min="8207" max="8447" width="9.140625" style="6" customWidth="1"/>
    <col min="8448" max="8448" width="33" style="6" customWidth="1"/>
    <col min="8449" max="8449" width="9.140625" style="6" customWidth="1"/>
    <col min="8450" max="8450" width="13.42578125" style="6" customWidth="1"/>
    <col min="8451" max="8451" width="21.85546875" style="6" customWidth="1"/>
    <col min="8452" max="8452" width="21.7109375" style="6" customWidth="1"/>
    <col min="8453" max="8453" width="9.140625" style="6" customWidth="1"/>
    <col min="8454" max="8454" width="19.7109375" style="6" customWidth="1"/>
    <col min="8455" max="8460" width="9.140625" style="6" customWidth="1"/>
    <col min="8461" max="8461" width="15.7109375" style="6" customWidth="1"/>
    <col min="8462" max="8462" width="13.5703125" style="6" customWidth="1"/>
    <col min="8463" max="8703" width="9.140625" style="6" customWidth="1"/>
    <col min="8704" max="8704" width="33" style="6" customWidth="1"/>
    <col min="8705" max="8705" width="9.140625" style="6" customWidth="1"/>
    <col min="8706" max="8706" width="13.42578125" style="6" customWidth="1"/>
    <col min="8707" max="8707" width="21.85546875" style="6" customWidth="1"/>
    <col min="8708" max="8708" width="21.7109375" style="6" customWidth="1"/>
    <col min="8709" max="8709" width="9.140625" style="6" customWidth="1"/>
    <col min="8710" max="8710" width="19.7109375" style="6" customWidth="1"/>
    <col min="8711" max="8716" width="9.140625" style="6" customWidth="1"/>
    <col min="8717" max="8717" width="15.7109375" style="6" customWidth="1"/>
    <col min="8718" max="8718" width="13.5703125" style="6" customWidth="1"/>
    <col min="8719" max="8959" width="9.140625" style="6" customWidth="1"/>
    <col min="8960" max="8960" width="33" style="6" customWidth="1"/>
    <col min="8961" max="8961" width="9.140625" style="6" customWidth="1"/>
    <col min="8962" max="8962" width="13.42578125" style="6" customWidth="1"/>
    <col min="8963" max="8963" width="21.85546875" style="6" customWidth="1"/>
    <col min="8964" max="8964" width="21.7109375" style="6" customWidth="1"/>
    <col min="8965" max="8965" width="9.140625" style="6" customWidth="1"/>
    <col min="8966" max="8966" width="19.7109375" style="6" customWidth="1"/>
    <col min="8967" max="8972" width="9.140625" style="6" customWidth="1"/>
    <col min="8973" max="8973" width="15.7109375" style="6" customWidth="1"/>
    <col min="8974" max="8974" width="13.5703125" style="6" customWidth="1"/>
    <col min="8975" max="9215" width="9.140625" style="6" customWidth="1"/>
    <col min="9216" max="9216" width="33" style="6" customWidth="1"/>
    <col min="9217" max="9217" width="9.140625" style="6" customWidth="1"/>
    <col min="9218" max="9218" width="13.42578125" style="6" customWidth="1"/>
    <col min="9219" max="9219" width="21.85546875" style="6" customWidth="1"/>
    <col min="9220" max="9220" width="21.7109375" style="6" customWidth="1"/>
    <col min="9221" max="9221" width="9.140625" style="6" customWidth="1"/>
    <col min="9222" max="9222" width="19.7109375" style="6" customWidth="1"/>
    <col min="9223" max="9228" width="9.140625" style="6" customWidth="1"/>
    <col min="9229" max="9229" width="15.7109375" style="6" customWidth="1"/>
    <col min="9230" max="9230" width="13.5703125" style="6" customWidth="1"/>
    <col min="9231" max="9471" width="9.140625" style="6" customWidth="1"/>
    <col min="9472" max="9472" width="33" style="6" customWidth="1"/>
    <col min="9473" max="9473" width="9.140625" style="6" customWidth="1"/>
    <col min="9474" max="9474" width="13.42578125" style="6" customWidth="1"/>
    <col min="9475" max="9475" width="21.85546875" style="6" customWidth="1"/>
    <col min="9476" max="9476" width="21.7109375" style="6" customWidth="1"/>
    <col min="9477" max="9477" width="9.140625" style="6" customWidth="1"/>
    <col min="9478" max="9478" width="19.7109375" style="6" customWidth="1"/>
    <col min="9479" max="9484" width="9.140625" style="6" customWidth="1"/>
    <col min="9485" max="9485" width="15.7109375" style="6" customWidth="1"/>
    <col min="9486" max="9486" width="13.5703125" style="6" customWidth="1"/>
    <col min="9487" max="9727" width="9.140625" style="6" customWidth="1"/>
    <col min="9728" max="9728" width="33" style="6" customWidth="1"/>
    <col min="9729" max="9729" width="9.140625" style="6" customWidth="1"/>
    <col min="9730" max="9730" width="13.42578125" style="6" customWidth="1"/>
    <col min="9731" max="9731" width="21.85546875" style="6" customWidth="1"/>
    <col min="9732" max="9732" width="21.7109375" style="6" customWidth="1"/>
    <col min="9733" max="9733" width="9.140625" style="6" customWidth="1"/>
    <col min="9734" max="9734" width="19.7109375" style="6" customWidth="1"/>
    <col min="9735" max="9740" width="9.140625" style="6" customWidth="1"/>
    <col min="9741" max="9741" width="15.7109375" style="6" customWidth="1"/>
    <col min="9742" max="9742" width="13.5703125" style="6" customWidth="1"/>
    <col min="9743" max="9983" width="9.140625" style="6" customWidth="1"/>
    <col min="9984" max="9984" width="33" style="6" customWidth="1"/>
    <col min="9985" max="9985" width="9.140625" style="6" customWidth="1"/>
    <col min="9986" max="9986" width="13.42578125" style="6" customWidth="1"/>
    <col min="9987" max="9987" width="21.85546875" style="6" customWidth="1"/>
    <col min="9988" max="9988" width="21.7109375" style="6" customWidth="1"/>
    <col min="9989" max="9989" width="9.140625" style="6" customWidth="1"/>
    <col min="9990" max="9990" width="19.7109375" style="6" customWidth="1"/>
    <col min="9991" max="9996" width="9.140625" style="6" customWidth="1"/>
    <col min="9997" max="9997" width="15.7109375" style="6" customWidth="1"/>
    <col min="9998" max="9998" width="13.5703125" style="6" customWidth="1"/>
    <col min="9999" max="10239" width="9.140625" style="6" customWidth="1"/>
    <col min="10240" max="10240" width="33" style="6" customWidth="1"/>
    <col min="10241" max="10241" width="9.140625" style="6" customWidth="1"/>
    <col min="10242" max="10242" width="13.42578125" style="6" customWidth="1"/>
    <col min="10243" max="10243" width="21.85546875" style="6" customWidth="1"/>
    <col min="10244" max="10244" width="21.7109375" style="6" customWidth="1"/>
    <col min="10245" max="10245" width="9.140625" style="6" customWidth="1"/>
    <col min="10246" max="10246" width="19.7109375" style="6" customWidth="1"/>
    <col min="10247" max="10252" width="9.140625" style="6" customWidth="1"/>
    <col min="10253" max="10253" width="15.7109375" style="6" customWidth="1"/>
    <col min="10254" max="10254" width="13.5703125" style="6" customWidth="1"/>
    <col min="10255" max="10495" width="9.140625" style="6" customWidth="1"/>
    <col min="10496" max="10496" width="33" style="6" customWidth="1"/>
    <col min="10497" max="10497" width="9.140625" style="6" customWidth="1"/>
    <col min="10498" max="10498" width="13.42578125" style="6" customWidth="1"/>
    <col min="10499" max="10499" width="21.85546875" style="6" customWidth="1"/>
    <col min="10500" max="10500" width="21.7109375" style="6" customWidth="1"/>
    <col min="10501" max="10501" width="9.140625" style="6" customWidth="1"/>
    <col min="10502" max="10502" width="19.7109375" style="6" customWidth="1"/>
    <col min="10503" max="10508" width="9.140625" style="6" customWidth="1"/>
    <col min="10509" max="10509" width="15.7109375" style="6" customWidth="1"/>
    <col min="10510" max="10510" width="13.5703125" style="6" customWidth="1"/>
    <col min="10511" max="10751" width="9.140625" style="6" customWidth="1"/>
    <col min="10752" max="10752" width="33" style="6" customWidth="1"/>
    <col min="10753" max="10753" width="9.140625" style="6" customWidth="1"/>
    <col min="10754" max="10754" width="13.42578125" style="6" customWidth="1"/>
    <col min="10755" max="10755" width="21.85546875" style="6" customWidth="1"/>
    <col min="10756" max="10756" width="21.7109375" style="6" customWidth="1"/>
    <col min="10757" max="10757" width="9.140625" style="6" customWidth="1"/>
    <col min="10758" max="10758" width="19.7109375" style="6" customWidth="1"/>
    <col min="10759" max="10764" width="9.140625" style="6" customWidth="1"/>
    <col min="10765" max="10765" width="15.7109375" style="6" customWidth="1"/>
    <col min="10766" max="10766" width="13.5703125" style="6" customWidth="1"/>
    <col min="10767" max="11007" width="9.140625" style="6" customWidth="1"/>
    <col min="11008" max="11008" width="33" style="6" customWidth="1"/>
    <col min="11009" max="11009" width="9.140625" style="6" customWidth="1"/>
    <col min="11010" max="11010" width="13.42578125" style="6" customWidth="1"/>
    <col min="11011" max="11011" width="21.85546875" style="6" customWidth="1"/>
    <col min="11012" max="11012" width="21.7109375" style="6" customWidth="1"/>
    <col min="11013" max="11013" width="9.140625" style="6" customWidth="1"/>
    <col min="11014" max="11014" width="19.7109375" style="6" customWidth="1"/>
    <col min="11015" max="11020" width="9.140625" style="6" customWidth="1"/>
    <col min="11021" max="11021" width="15.7109375" style="6" customWidth="1"/>
    <col min="11022" max="11022" width="13.5703125" style="6" customWidth="1"/>
    <col min="11023" max="11263" width="9.140625" style="6" customWidth="1"/>
    <col min="11264" max="11264" width="33" style="6" customWidth="1"/>
    <col min="11265" max="11265" width="9.140625" style="6" customWidth="1"/>
    <col min="11266" max="11266" width="13.42578125" style="6" customWidth="1"/>
    <col min="11267" max="11267" width="21.85546875" style="6" customWidth="1"/>
    <col min="11268" max="11268" width="21.7109375" style="6" customWidth="1"/>
    <col min="11269" max="11269" width="9.140625" style="6" customWidth="1"/>
    <col min="11270" max="11270" width="19.7109375" style="6" customWidth="1"/>
    <col min="11271" max="11276" width="9.140625" style="6" customWidth="1"/>
    <col min="11277" max="11277" width="15.7109375" style="6" customWidth="1"/>
    <col min="11278" max="11278" width="13.5703125" style="6" customWidth="1"/>
    <col min="11279" max="11519" width="9.140625" style="6" customWidth="1"/>
    <col min="11520" max="11520" width="33" style="6" customWidth="1"/>
    <col min="11521" max="11521" width="9.140625" style="6" customWidth="1"/>
    <col min="11522" max="11522" width="13.42578125" style="6" customWidth="1"/>
    <col min="11523" max="11523" width="21.85546875" style="6" customWidth="1"/>
    <col min="11524" max="11524" width="21.7109375" style="6" customWidth="1"/>
    <col min="11525" max="11525" width="9.140625" style="6" customWidth="1"/>
    <col min="11526" max="11526" width="19.7109375" style="6" customWidth="1"/>
    <col min="11527" max="11532" width="9.140625" style="6" customWidth="1"/>
    <col min="11533" max="11533" width="15.7109375" style="6" customWidth="1"/>
    <col min="11534" max="11534" width="13.5703125" style="6" customWidth="1"/>
    <col min="11535" max="11775" width="9.140625" style="6" customWidth="1"/>
    <col min="11776" max="11776" width="33" style="6" customWidth="1"/>
    <col min="11777" max="11777" width="9.140625" style="6" customWidth="1"/>
    <col min="11778" max="11778" width="13.42578125" style="6" customWidth="1"/>
    <col min="11779" max="11779" width="21.85546875" style="6" customWidth="1"/>
    <col min="11780" max="11780" width="21.7109375" style="6" customWidth="1"/>
    <col min="11781" max="11781" width="9.140625" style="6" customWidth="1"/>
    <col min="11782" max="11782" width="19.7109375" style="6" customWidth="1"/>
    <col min="11783" max="11788" width="9.140625" style="6" customWidth="1"/>
    <col min="11789" max="11789" width="15.7109375" style="6" customWidth="1"/>
    <col min="11790" max="11790" width="13.5703125" style="6" customWidth="1"/>
    <col min="11791" max="12031" width="9.140625" style="6" customWidth="1"/>
    <col min="12032" max="12032" width="33" style="6" customWidth="1"/>
    <col min="12033" max="12033" width="9.140625" style="6" customWidth="1"/>
    <col min="12034" max="12034" width="13.42578125" style="6" customWidth="1"/>
    <col min="12035" max="12035" width="21.85546875" style="6" customWidth="1"/>
    <col min="12036" max="12036" width="21.7109375" style="6" customWidth="1"/>
    <col min="12037" max="12037" width="9.140625" style="6" customWidth="1"/>
    <col min="12038" max="12038" width="19.7109375" style="6" customWidth="1"/>
    <col min="12039" max="12044" width="9.140625" style="6" customWidth="1"/>
    <col min="12045" max="12045" width="15.7109375" style="6" customWidth="1"/>
    <col min="12046" max="12046" width="13.5703125" style="6" customWidth="1"/>
    <col min="12047" max="12287" width="9.140625" style="6" customWidth="1"/>
    <col min="12288" max="12288" width="33" style="6" customWidth="1"/>
    <col min="12289" max="12289" width="9.140625" style="6" customWidth="1"/>
    <col min="12290" max="12290" width="13.42578125" style="6" customWidth="1"/>
    <col min="12291" max="12291" width="21.85546875" style="6" customWidth="1"/>
    <col min="12292" max="12292" width="21.7109375" style="6" customWidth="1"/>
    <col min="12293" max="12293" width="9.140625" style="6" customWidth="1"/>
    <col min="12294" max="12294" width="19.7109375" style="6" customWidth="1"/>
    <col min="12295" max="12300" width="9.140625" style="6" customWidth="1"/>
    <col min="12301" max="12301" width="15.7109375" style="6" customWidth="1"/>
    <col min="12302" max="12302" width="13.5703125" style="6" customWidth="1"/>
    <col min="12303" max="12543" width="9.140625" style="6" customWidth="1"/>
    <col min="12544" max="12544" width="33" style="6" customWidth="1"/>
    <col min="12545" max="12545" width="9.140625" style="6" customWidth="1"/>
    <col min="12546" max="12546" width="13.42578125" style="6" customWidth="1"/>
    <col min="12547" max="12547" width="21.85546875" style="6" customWidth="1"/>
    <col min="12548" max="12548" width="21.7109375" style="6" customWidth="1"/>
    <col min="12549" max="12549" width="9.140625" style="6" customWidth="1"/>
    <col min="12550" max="12550" width="19.7109375" style="6" customWidth="1"/>
    <col min="12551" max="12556" width="9.140625" style="6" customWidth="1"/>
    <col min="12557" max="12557" width="15.7109375" style="6" customWidth="1"/>
    <col min="12558" max="12558" width="13.5703125" style="6" customWidth="1"/>
    <col min="12559" max="12799" width="9.140625" style="6" customWidth="1"/>
    <col min="12800" max="12800" width="33" style="6" customWidth="1"/>
    <col min="12801" max="12801" width="9.140625" style="6" customWidth="1"/>
    <col min="12802" max="12802" width="13.42578125" style="6" customWidth="1"/>
    <col min="12803" max="12803" width="21.85546875" style="6" customWidth="1"/>
    <col min="12804" max="12804" width="21.7109375" style="6" customWidth="1"/>
    <col min="12805" max="12805" width="9.140625" style="6" customWidth="1"/>
    <col min="12806" max="12806" width="19.7109375" style="6" customWidth="1"/>
    <col min="12807" max="12812" width="9.140625" style="6" customWidth="1"/>
    <col min="12813" max="12813" width="15.7109375" style="6" customWidth="1"/>
    <col min="12814" max="12814" width="13.5703125" style="6" customWidth="1"/>
    <col min="12815" max="13055" width="9.140625" style="6" customWidth="1"/>
    <col min="13056" max="13056" width="33" style="6" customWidth="1"/>
    <col min="13057" max="13057" width="9.140625" style="6" customWidth="1"/>
    <col min="13058" max="13058" width="13.42578125" style="6" customWidth="1"/>
    <col min="13059" max="13059" width="21.85546875" style="6" customWidth="1"/>
    <col min="13060" max="13060" width="21.7109375" style="6" customWidth="1"/>
    <col min="13061" max="13061" width="9.140625" style="6" customWidth="1"/>
    <col min="13062" max="13062" width="19.7109375" style="6" customWidth="1"/>
    <col min="13063" max="13068" width="9.140625" style="6" customWidth="1"/>
    <col min="13069" max="13069" width="15.7109375" style="6" customWidth="1"/>
    <col min="13070" max="13070" width="13.5703125" style="6" customWidth="1"/>
    <col min="13071" max="13311" width="9.140625" style="6" customWidth="1"/>
    <col min="13312" max="13312" width="33" style="6" customWidth="1"/>
    <col min="13313" max="13313" width="9.140625" style="6" customWidth="1"/>
    <col min="13314" max="13314" width="13.42578125" style="6" customWidth="1"/>
    <col min="13315" max="13315" width="21.85546875" style="6" customWidth="1"/>
    <col min="13316" max="13316" width="21.7109375" style="6" customWidth="1"/>
    <col min="13317" max="13317" width="9.140625" style="6" customWidth="1"/>
    <col min="13318" max="13318" width="19.7109375" style="6" customWidth="1"/>
    <col min="13319" max="13324" width="9.140625" style="6" customWidth="1"/>
    <col min="13325" max="13325" width="15.7109375" style="6" customWidth="1"/>
    <col min="13326" max="13326" width="13.5703125" style="6" customWidth="1"/>
    <col min="13327" max="13567" width="9.140625" style="6" customWidth="1"/>
    <col min="13568" max="13568" width="33" style="6" customWidth="1"/>
    <col min="13569" max="13569" width="9.140625" style="6" customWidth="1"/>
    <col min="13570" max="13570" width="13.42578125" style="6" customWidth="1"/>
    <col min="13571" max="13571" width="21.85546875" style="6" customWidth="1"/>
    <col min="13572" max="13572" width="21.7109375" style="6" customWidth="1"/>
    <col min="13573" max="13573" width="9.140625" style="6" customWidth="1"/>
    <col min="13574" max="13574" width="19.7109375" style="6" customWidth="1"/>
    <col min="13575" max="13580" width="9.140625" style="6" customWidth="1"/>
    <col min="13581" max="13581" width="15.7109375" style="6" customWidth="1"/>
    <col min="13582" max="13582" width="13.5703125" style="6" customWidth="1"/>
    <col min="13583" max="13823" width="9.140625" style="6" customWidth="1"/>
    <col min="13824" max="13824" width="33" style="6" customWidth="1"/>
    <col min="13825" max="13825" width="9.140625" style="6" customWidth="1"/>
    <col min="13826" max="13826" width="13.42578125" style="6" customWidth="1"/>
    <col min="13827" max="13827" width="21.85546875" style="6" customWidth="1"/>
    <col min="13828" max="13828" width="21.7109375" style="6" customWidth="1"/>
    <col min="13829" max="13829" width="9.140625" style="6" customWidth="1"/>
    <col min="13830" max="13830" width="19.7109375" style="6" customWidth="1"/>
    <col min="13831" max="13836" width="9.140625" style="6" customWidth="1"/>
    <col min="13837" max="13837" width="15.7109375" style="6" customWidth="1"/>
    <col min="13838" max="13838" width="13.5703125" style="6" customWidth="1"/>
    <col min="13839" max="14079" width="9.140625" style="6" customWidth="1"/>
    <col min="14080" max="14080" width="33" style="6" customWidth="1"/>
    <col min="14081" max="14081" width="9.140625" style="6" customWidth="1"/>
    <col min="14082" max="14082" width="13.42578125" style="6" customWidth="1"/>
    <col min="14083" max="14083" width="21.85546875" style="6" customWidth="1"/>
    <col min="14084" max="14084" width="21.7109375" style="6" customWidth="1"/>
    <col min="14085" max="14085" width="9.140625" style="6" customWidth="1"/>
    <col min="14086" max="14086" width="19.7109375" style="6" customWidth="1"/>
    <col min="14087" max="14092" width="9.140625" style="6" customWidth="1"/>
    <col min="14093" max="14093" width="15.7109375" style="6" customWidth="1"/>
    <col min="14094" max="14094" width="13.5703125" style="6" customWidth="1"/>
    <col min="14095" max="14335" width="9.140625" style="6" customWidth="1"/>
    <col min="14336" max="14336" width="33" style="6" customWidth="1"/>
    <col min="14337" max="14337" width="9.140625" style="6" customWidth="1"/>
    <col min="14338" max="14338" width="13.42578125" style="6" customWidth="1"/>
    <col min="14339" max="14339" width="21.85546875" style="6" customWidth="1"/>
    <col min="14340" max="14340" width="21.7109375" style="6" customWidth="1"/>
    <col min="14341" max="14341" width="9.140625" style="6" customWidth="1"/>
    <col min="14342" max="14342" width="19.7109375" style="6" customWidth="1"/>
    <col min="14343" max="14348" width="9.140625" style="6" customWidth="1"/>
    <col min="14349" max="14349" width="15.7109375" style="6" customWidth="1"/>
    <col min="14350" max="14350" width="13.5703125" style="6" customWidth="1"/>
    <col min="14351" max="14591" width="9.140625" style="6" customWidth="1"/>
    <col min="14592" max="14592" width="33" style="6" customWidth="1"/>
    <col min="14593" max="14593" width="9.140625" style="6" customWidth="1"/>
    <col min="14594" max="14594" width="13.42578125" style="6" customWidth="1"/>
    <col min="14595" max="14595" width="21.85546875" style="6" customWidth="1"/>
    <col min="14596" max="14596" width="21.7109375" style="6" customWidth="1"/>
    <col min="14597" max="14597" width="9.140625" style="6" customWidth="1"/>
    <col min="14598" max="14598" width="19.7109375" style="6" customWidth="1"/>
    <col min="14599" max="14604" width="9.140625" style="6" customWidth="1"/>
    <col min="14605" max="14605" width="15.7109375" style="6" customWidth="1"/>
    <col min="14606" max="14606" width="13.5703125" style="6" customWidth="1"/>
    <col min="14607" max="14847" width="9.140625" style="6" customWidth="1"/>
    <col min="14848" max="14848" width="33" style="6" customWidth="1"/>
    <col min="14849" max="14849" width="9.140625" style="6" customWidth="1"/>
    <col min="14850" max="14850" width="13.42578125" style="6" customWidth="1"/>
    <col min="14851" max="14851" width="21.85546875" style="6" customWidth="1"/>
    <col min="14852" max="14852" width="21.7109375" style="6" customWidth="1"/>
    <col min="14853" max="14853" width="9.140625" style="6" customWidth="1"/>
    <col min="14854" max="14854" width="19.7109375" style="6" customWidth="1"/>
    <col min="14855" max="14860" width="9.140625" style="6" customWidth="1"/>
    <col min="14861" max="14861" width="15.7109375" style="6" customWidth="1"/>
    <col min="14862" max="14862" width="13.5703125" style="6" customWidth="1"/>
    <col min="14863" max="15103" width="9.140625" style="6" customWidth="1"/>
    <col min="15104" max="15104" width="33" style="6" customWidth="1"/>
    <col min="15105" max="15105" width="9.140625" style="6" customWidth="1"/>
    <col min="15106" max="15106" width="13.42578125" style="6" customWidth="1"/>
    <col min="15107" max="15107" width="21.85546875" style="6" customWidth="1"/>
    <col min="15108" max="15108" width="21.7109375" style="6" customWidth="1"/>
    <col min="15109" max="15109" width="9.140625" style="6" customWidth="1"/>
    <col min="15110" max="15110" width="19.7109375" style="6" customWidth="1"/>
    <col min="15111" max="15116" width="9.140625" style="6" customWidth="1"/>
    <col min="15117" max="15117" width="15.7109375" style="6" customWidth="1"/>
    <col min="15118" max="15118" width="13.5703125" style="6" customWidth="1"/>
    <col min="15119" max="15359" width="9.140625" style="6" customWidth="1"/>
    <col min="15360" max="15360" width="33" style="6" customWidth="1"/>
    <col min="15361" max="15361" width="9.140625" style="6" customWidth="1"/>
    <col min="15362" max="15362" width="13.42578125" style="6" customWidth="1"/>
    <col min="15363" max="15363" width="21.85546875" style="6" customWidth="1"/>
    <col min="15364" max="15364" width="21.7109375" style="6" customWidth="1"/>
    <col min="15365" max="15365" width="9.140625" style="6" customWidth="1"/>
    <col min="15366" max="15366" width="19.7109375" style="6" customWidth="1"/>
    <col min="15367" max="15372" width="9.140625" style="6" customWidth="1"/>
    <col min="15373" max="15373" width="15.7109375" style="6" customWidth="1"/>
    <col min="15374" max="15374" width="13.5703125" style="6" customWidth="1"/>
    <col min="15375" max="15615" width="9.140625" style="6" customWidth="1"/>
    <col min="15616" max="15616" width="33" style="6" customWidth="1"/>
    <col min="15617" max="15617" width="9.140625" style="6" customWidth="1"/>
    <col min="15618" max="15618" width="13.42578125" style="6" customWidth="1"/>
    <col min="15619" max="15619" width="21.85546875" style="6" customWidth="1"/>
    <col min="15620" max="15620" width="21.7109375" style="6" customWidth="1"/>
    <col min="15621" max="15621" width="9.140625" style="6" customWidth="1"/>
    <col min="15622" max="15622" width="19.7109375" style="6" customWidth="1"/>
    <col min="15623" max="15628" width="9.140625" style="6" customWidth="1"/>
    <col min="15629" max="15629" width="15.7109375" style="6" customWidth="1"/>
    <col min="15630" max="15630" width="13.5703125" style="6" customWidth="1"/>
    <col min="15631" max="15871" width="9.140625" style="6" customWidth="1"/>
    <col min="15872" max="15872" width="33" style="6" customWidth="1"/>
    <col min="15873" max="15873" width="9.140625" style="6" customWidth="1"/>
    <col min="15874" max="15874" width="13.42578125" style="6" customWidth="1"/>
    <col min="15875" max="15875" width="21.85546875" style="6" customWidth="1"/>
    <col min="15876" max="15876" width="21.7109375" style="6" customWidth="1"/>
    <col min="15877" max="15877" width="9.140625" style="6" customWidth="1"/>
    <col min="15878" max="15878" width="19.7109375" style="6" customWidth="1"/>
    <col min="15879" max="15884" width="9.140625" style="6" customWidth="1"/>
    <col min="15885" max="15885" width="15.7109375" style="6" customWidth="1"/>
    <col min="15886" max="15886" width="13.5703125" style="6" customWidth="1"/>
    <col min="15887" max="16127" width="9.140625" style="6" customWidth="1"/>
    <col min="16128" max="16128" width="33" style="6" customWidth="1"/>
    <col min="16129" max="16129" width="9.140625" style="6" customWidth="1"/>
    <col min="16130" max="16130" width="13.42578125" style="6" customWidth="1"/>
    <col min="16131" max="16131" width="21.85546875" style="6" customWidth="1"/>
    <col min="16132" max="16132" width="21.7109375" style="6" customWidth="1"/>
    <col min="16133" max="16133" width="9.140625" style="6" customWidth="1"/>
    <col min="16134" max="16134" width="19.7109375" style="6" customWidth="1"/>
    <col min="16135" max="16140" width="9.140625" style="6" customWidth="1"/>
    <col min="16141" max="16141" width="15.7109375" style="6" customWidth="1"/>
    <col min="16142" max="16142" width="13.5703125" style="6" customWidth="1"/>
    <col min="16143" max="16384" width="9.140625" style="6" customWidth="1"/>
  </cols>
  <sheetData>
    <row r="1" spans="1:16" ht="24.75" customHeight="1" x14ac:dyDescent="0.25">
      <c r="A1" s="10" t="s">
        <v>694</v>
      </c>
      <c r="B1" s="10" t="s">
        <v>1851</v>
      </c>
      <c r="C1" s="10" t="s">
        <v>1852</v>
      </c>
      <c r="D1" s="10" t="s">
        <v>1853</v>
      </c>
      <c r="E1" s="10" t="s">
        <v>1854</v>
      </c>
      <c r="F1" s="10" t="s">
        <v>1855</v>
      </c>
      <c r="G1" s="10" t="s">
        <v>1857</v>
      </c>
      <c r="H1" s="10" t="s">
        <v>1858</v>
      </c>
      <c r="I1" s="10" t="s">
        <v>1859</v>
      </c>
      <c r="J1" s="10" t="s">
        <v>1860</v>
      </c>
      <c r="K1" s="11" t="s">
        <v>1861</v>
      </c>
      <c r="L1" s="10" t="s">
        <v>1856</v>
      </c>
      <c r="M1" s="10" t="s">
        <v>1862</v>
      </c>
      <c r="N1" s="10" t="s">
        <v>1863</v>
      </c>
      <c r="O1" s="10" t="s">
        <v>1864</v>
      </c>
      <c r="P1" s="12" t="s">
        <v>1865</v>
      </c>
    </row>
    <row r="2" spans="1:16" ht="30" x14ac:dyDescent="0.25">
      <c r="A2" s="7" t="s">
        <v>1866</v>
      </c>
      <c r="B2" s="7" t="str">
        <f>"0226"</f>
        <v>0226</v>
      </c>
      <c r="C2" s="7">
        <v>2020</v>
      </c>
      <c r="D2" s="7" t="s">
        <v>1867</v>
      </c>
      <c r="E2" s="7" t="s">
        <v>1868</v>
      </c>
      <c r="F2" s="7" t="s">
        <v>2138</v>
      </c>
      <c r="G2" s="7" t="s">
        <v>1871</v>
      </c>
      <c r="H2" s="7">
        <v>1085280973</v>
      </c>
      <c r="I2" s="7">
        <v>1</v>
      </c>
      <c r="J2" s="7" t="s">
        <v>2139</v>
      </c>
      <c r="K2" s="8">
        <v>27515904</v>
      </c>
      <c r="L2" s="7" t="s">
        <v>1992</v>
      </c>
      <c r="M2" s="7" t="s">
        <v>1914</v>
      </c>
      <c r="N2" s="7" t="s">
        <v>2117</v>
      </c>
      <c r="O2" s="7"/>
      <c r="P2" s="13" t="s">
        <v>2140</v>
      </c>
    </row>
    <row r="3" spans="1:16" ht="30" x14ac:dyDescent="0.25">
      <c r="A3" s="7" t="s">
        <v>1866</v>
      </c>
      <c r="B3" s="7" t="str">
        <f>"0227"</f>
        <v>0227</v>
      </c>
      <c r="C3" s="7">
        <v>2020</v>
      </c>
      <c r="D3" s="7" t="s">
        <v>1867</v>
      </c>
      <c r="E3" s="7" t="s">
        <v>1868</v>
      </c>
      <c r="F3" s="7" t="s">
        <v>2141</v>
      </c>
      <c r="G3" s="7" t="s">
        <v>1871</v>
      </c>
      <c r="H3" s="7">
        <v>1085252716</v>
      </c>
      <c r="I3" s="7">
        <v>6</v>
      </c>
      <c r="J3" s="7" t="s">
        <v>2142</v>
      </c>
      <c r="K3" s="8">
        <v>27515904</v>
      </c>
      <c r="L3" s="7" t="s">
        <v>1992</v>
      </c>
      <c r="M3" s="7" t="s">
        <v>1982</v>
      </c>
      <c r="N3" s="7" t="s">
        <v>2110</v>
      </c>
      <c r="O3" s="7"/>
      <c r="P3" s="13" t="s">
        <v>2143</v>
      </c>
    </row>
    <row r="4" spans="1:16" ht="30" x14ac:dyDescent="0.25">
      <c r="A4" s="7" t="s">
        <v>1866</v>
      </c>
      <c r="B4" s="7" t="str">
        <f>"0265"</f>
        <v>0265</v>
      </c>
      <c r="C4" s="7">
        <v>2020</v>
      </c>
      <c r="D4" s="7" t="s">
        <v>1867</v>
      </c>
      <c r="E4" s="7" t="s">
        <v>1875</v>
      </c>
      <c r="F4" s="7" t="s">
        <v>2170</v>
      </c>
      <c r="G4" s="7" t="s">
        <v>1871</v>
      </c>
      <c r="H4" s="7">
        <v>59835714</v>
      </c>
      <c r="I4" s="7">
        <v>9</v>
      </c>
      <c r="J4" s="7" t="s">
        <v>1876</v>
      </c>
      <c r="K4" s="8">
        <v>21200000</v>
      </c>
      <c r="L4" s="7" t="s">
        <v>1898</v>
      </c>
      <c r="M4" s="7" t="s">
        <v>2171</v>
      </c>
      <c r="N4" s="7" t="s">
        <v>2167</v>
      </c>
      <c r="O4" s="7"/>
      <c r="P4" s="13" t="s">
        <v>2172</v>
      </c>
    </row>
    <row r="5" spans="1:16" ht="30" x14ac:dyDescent="0.25">
      <c r="A5" s="7" t="s">
        <v>1866</v>
      </c>
      <c r="B5" s="7" t="str">
        <f>"0266"</f>
        <v>0266</v>
      </c>
      <c r="C5" s="7">
        <v>2020</v>
      </c>
      <c r="D5" s="7" t="s">
        <v>1867</v>
      </c>
      <c r="E5" s="7" t="s">
        <v>1868</v>
      </c>
      <c r="F5" s="7" t="s">
        <v>1869</v>
      </c>
      <c r="G5" s="7" t="s">
        <v>1871</v>
      </c>
      <c r="H5" s="7">
        <v>1085313324</v>
      </c>
      <c r="I5" s="7">
        <v>5</v>
      </c>
      <c r="J5" s="7" t="s">
        <v>1872</v>
      </c>
      <c r="K5" s="8">
        <v>27515904</v>
      </c>
      <c r="L5" s="7" t="s">
        <v>1898</v>
      </c>
      <c r="M5" s="7" t="s">
        <v>2173</v>
      </c>
      <c r="N5" s="7" t="s">
        <v>2167</v>
      </c>
      <c r="O5" s="7"/>
      <c r="P5" s="13" t="s">
        <v>2174</v>
      </c>
    </row>
    <row r="6" spans="1:16" ht="30" x14ac:dyDescent="0.25">
      <c r="A6" s="7" t="s">
        <v>1866</v>
      </c>
      <c r="B6" s="7" t="str">
        <f>"0267"</f>
        <v>0267</v>
      </c>
      <c r="C6" s="7">
        <v>2020</v>
      </c>
      <c r="D6" s="7" t="s">
        <v>1867</v>
      </c>
      <c r="E6" s="7" t="s">
        <v>1868</v>
      </c>
      <c r="F6" s="7" t="s">
        <v>1873</v>
      </c>
      <c r="G6" s="7" t="s">
        <v>1871</v>
      </c>
      <c r="H6" s="7">
        <v>1085294870</v>
      </c>
      <c r="I6" s="7">
        <v>2</v>
      </c>
      <c r="J6" s="7" t="s">
        <v>1874</v>
      </c>
      <c r="K6" s="8">
        <v>27515904</v>
      </c>
      <c r="L6" s="7" t="s">
        <v>1898</v>
      </c>
      <c r="M6" s="7" t="s">
        <v>2022</v>
      </c>
      <c r="N6" s="7" t="s">
        <v>2167</v>
      </c>
      <c r="O6" s="7"/>
      <c r="P6" s="13" t="s">
        <v>2175</v>
      </c>
    </row>
    <row r="7" spans="1:16" ht="30" x14ac:dyDescent="0.25">
      <c r="A7" s="7" t="s">
        <v>1866</v>
      </c>
      <c r="B7" s="7" t="str">
        <f>"0268"</f>
        <v>0268</v>
      </c>
      <c r="C7" s="7">
        <v>2020</v>
      </c>
      <c r="D7" s="7" t="s">
        <v>1867</v>
      </c>
      <c r="E7" s="7" t="s">
        <v>1868</v>
      </c>
      <c r="F7" s="7" t="s">
        <v>2176</v>
      </c>
      <c r="G7" s="7" t="s">
        <v>1871</v>
      </c>
      <c r="H7" s="7">
        <v>1144164109</v>
      </c>
      <c r="I7" s="7">
        <v>1</v>
      </c>
      <c r="J7" s="7" t="s">
        <v>2177</v>
      </c>
      <c r="K7" s="8">
        <v>27515904</v>
      </c>
      <c r="L7" s="7" t="s">
        <v>1898</v>
      </c>
      <c r="M7" s="7" t="s">
        <v>2116</v>
      </c>
      <c r="N7" s="7" t="s">
        <v>2167</v>
      </c>
      <c r="O7" s="7"/>
      <c r="P7" s="13" t="s">
        <v>2178</v>
      </c>
    </row>
    <row r="8" spans="1:16" ht="30" x14ac:dyDescent="0.25">
      <c r="A8" s="7" t="s">
        <v>1866</v>
      </c>
      <c r="B8" s="7" t="str">
        <f>"0269"</f>
        <v>0269</v>
      </c>
      <c r="C8" s="7">
        <v>2020</v>
      </c>
      <c r="D8" s="7" t="s">
        <v>1867</v>
      </c>
      <c r="E8" s="7" t="s">
        <v>1868</v>
      </c>
      <c r="F8" s="7" t="s">
        <v>1877</v>
      </c>
      <c r="G8" s="7" t="s">
        <v>1871</v>
      </c>
      <c r="H8" s="7">
        <v>1085298762</v>
      </c>
      <c r="I8" s="7">
        <v>3</v>
      </c>
      <c r="J8" s="7" t="s">
        <v>1878</v>
      </c>
      <c r="K8" s="8">
        <v>27515904</v>
      </c>
      <c r="L8" s="7" t="s">
        <v>1898</v>
      </c>
      <c r="M8" s="7" t="s">
        <v>2062</v>
      </c>
      <c r="N8" s="7" t="s">
        <v>2167</v>
      </c>
      <c r="O8" s="7"/>
      <c r="P8" s="13" t="s">
        <v>2179</v>
      </c>
    </row>
    <row r="9" spans="1:16" ht="30" x14ac:dyDescent="0.25">
      <c r="A9" s="7" t="s">
        <v>1866</v>
      </c>
      <c r="B9" s="7" t="str">
        <f>"0270"</f>
        <v>0270</v>
      </c>
      <c r="C9" s="7">
        <v>2020</v>
      </c>
      <c r="D9" s="7" t="s">
        <v>1867</v>
      </c>
      <c r="E9" s="7" t="s">
        <v>1868</v>
      </c>
      <c r="F9" s="7" t="s">
        <v>1880</v>
      </c>
      <c r="G9" s="7" t="s">
        <v>1871</v>
      </c>
      <c r="H9" s="7">
        <v>1085281806</v>
      </c>
      <c r="I9" s="7">
        <v>4</v>
      </c>
      <c r="J9" s="7" t="s">
        <v>1881</v>
      </c>
      <c r="K9" s="8">
        <v>27515904</v>
      </c>
      <c r="L9" s="7" t="s">
        <v>1898</v>
      </c>
      <c r="M9" s="7" t="s">
        <v>2122</v>
      </c>
      <c r="N9" s="7" t="s">
        <v>2167</v>
      </c>
      <c r="O9" s="7"/>
      <c r="P9" s="13" t="s">
        <v>2180</v>
      </c>
    </row>
    <row r="10" spans="1:16" ht="30" x14ac:dyDescent="0.25">
      <c r="A10" s="7" t="s">
        <v>1866</v>
      </c>
      <c r="B10" s="7" t="str">
        <f>"0271"</f>
        <v>0271</v>
      </c>
      <c r="C10" s="7">
        <v>2020</v>
      </c>
      <c r="D10" s="7" t="s">
        <v>1867</v>
      </c>
      <c r="E10" s="7" t="s">
        <v>1868</v>
      </c>
      <c r="F10" s="7" t="s">
        <v>2181</v>
      </c>
      <c r="G10" s="7" t="s">
        <v>1871</v>
      </c>
      <c r="H10" s="7">
        <v>59819234</v>
      </c>
      <c r="I10" s="7">
        <v>8</v>
      </c>
      <c r="J10" s="7" t="s">
        <v>1879</v>
      </c>
      <c r="K10" s="8">
        <v>27515904</v>
      </c>
      <c r="L10" s="7" t="s">
        <v>1898</v>
      </c>
      <c r="M10" s="7" t="s">
        <v>2062</v>
      </c>
      <c r="N10" s="7" t="s">
        <v>2167</v>
      </c>
      <c r="O10" s="7"/>
      <c r="P10" s="13" t="s">
        <v>2182</v>
      </c>
    </row>
    <row r="11" spans="1:16" ht="30" x14ac:dyDescent="0.25">
      <c r="A11" s="7" t="s">
        <v>1866</v>
      </c>
      <c r="B11" s="7" t="str">
        <f>"0272"</f>
        <v>0272</v>
      </c>
      <c r="C11" s="7">
        <v>2020</v>
      </c>
      <c r="D11" s="7" t="s">
        <v>1867</v>
      </c>
      <c r="E11" s="7" t="s">
        <v>1868</v>
      </c>
      <c r="F11" s="7" t="s">
        <v>2183</v>
      </c>
      <c r="G11" s="7" t="s">
        <v>1871</v>
      </c>
      <c r="H11" s="7">
        <v>1086906782</v>
      </c>
      <c r="I11" s="7">
        <v>0</v>
      </c>
      <c r="J11" s="7" t="s">
        <v>2184</v>
      </c>
      <c r="K11" s="8">
        <v>27515904</v>
      </c>
      <c r="L11" s="7" t="s">
        <v>1898</v>
      </c>
      <c r="M11" s="7" t="s">
        <v>2016</v>
      </c>
      <c r="N11" s="7" t="s">
        <v>2167</v>
      </c>
      <c r="O11" s="7"/>
      <c r="P11" s="13" t="s">
        <v>2185</v>
      </c>
    </row>
    <row r="12" spans="1:16" ht="30" x14ac:dyDescent="0.25">
      <c r="A12" s="7" t="s">
        <v>1866</v>
      </c>
      <c r="B12" s="7" t="str">
        <f>"0273"</f>
        <v>0273</v>
      </c>
      <c r="C12" s="7">
        <v>2020</v>
      </c>
      <c r="D12" s="7" t="s">
        <v>1867</v>
      </c>
      <c r="E12" s="7" t="s">
        <v>1875</v>
      </c>
      <c r="F12" s="7" t="s">
        <v>2186</v>
      </c>
      <c r="G12" s="7" t="s">
        <v>1871</v>
      </c>
      <c r="H12" s="7">
        <v>1089077343</v>
      </c>
      <c r="I12" s="7">
        <v>5</v>
      </c>
      <c r="J12" s="7" t="s">
        <v>2187</v>
      </c>
      <c r="K12" s="8">
        <v>21200000</v>
      </c>
      <c r="L12" s="7" t="s">
        <v>1898</v>
      </c>
      <c r="M12" s="7" t="s">
        <v>2016</v>
      </c>
      <c r="N12" s="7" t="s">
        <v>2167</v>
      </c>
      <c r="O12" s="7"/>
      <c r="P12" s="13" t="s">
        <v>2188</v>
      </c>
    </row>
    <row r="13" spans="1:16" ht="30" x14ac:dyDescent="0.25">
      <c r="A13" s="7" t="s">
        <v>1866</v>
      </c>
      <c r="B13" s="7" t="str">
        <f>"0274"</f>
        <v>0274</v>
      </c>
      <c r="C13" s="7">
        <v>2020</v>
      </c>
      <c r="D13" s="7" t="s">
        <v>1867</v>
      </c>
      <c r="E13" s="7" t="s">
        <v>1875</v>
      </c>
      <c r="F13" s="7" t="s">
        <v>2189</v>
      </c>
      <c r="G13" s="7" t="s">
        <v>1871</v>
      </c>
      <c r="H13" s="7">
        <v>59312653</v>
      </c>
      <c r="I13" s="7">
        <v>3</v>
      </c>
      <c r="J13" s="7" t="s">
        <v>2190</v>
      </c>
      <c r="K13" s="8">
        <v>21200000</v>
      </c>
      <c r="L13" s="7" t="s">
        <v>1898</v>
      </c>
      <c r="M13" s="7" t="s">
        <v>2016</v>
      </c>
      <c r="N13" s="7" t="s">
        <v>2167</v>
      </c>
      <c r="O13" s="7"/>
      <c r="P13" s="13" t="s">
        <v>2191</v>
      </c>
    </row>
    <row r="14" spans="1:16" ht="30" x14ac:dyDescent="0.25">
      <c r="A14" s="7" t="s">
        <v>1866</v>
      </c>
      <c r="B14" s="7" t="str">
        <f>"0275"</f>
        <v>0275</v>
      </c>
      <c r="C14" s="7">
        <v>2020</v>
      </c>
      <c r="D14" s="7" t="s">
        <v>1867</v>
      </c>
      <c r="E14" s="7" t="s">
        <v>1875</v>
      </c>
      <c r="F14" s="7" t="s">
        <v>2192</v>
      </c>
      <c r="G14" s="7" t="s">
        <v>1871</v>
      </c>
      <c r="H14" s="7">
        <v>12979094</v>
      </c>
      <c r="I14" s="7">
        <v>8</v>
      </c>
      <c r="J14" s="7" t="s">
        <v>2193</v>
      </c>
      <c r="K14" s="8">
        <v>21200000</v>
      </c>
      <c r="L14" s="7" t="s">
        <v>1898</v>
      </c>
      <c r="M14" s="7" t="s">
        <v>2116</v>
      </c>
      <c r="N14" s="7" t="s">
        <v>2167</v>
      </c>
      <c r="O14" s="7"/>
      <c r="P14" s="13" t="s">
        <v>2194</v>
      </c>
    </row>
    <row r="15" spans="1:16" ht="30" x14ac:dyDescent="0.25">
      <c r="A15" s="7" t="s">
        <v>1866</v>
      </c>
      <c r="B15" s="7" t="str">
        <f>"0446"</f>
        <v>0446</v>
      </c>
      <c r="C15" s="7">
        <v>2020</v>
      </c>
      <c r="D15" s="7" t="s">
        <v>1867</v>
      </c>
      <c r="E15" s="7" t="s">
        <v>1868</v>
      </c>
      <c r="F15" s="7" t="s">
        <v>2574</v>
      </c>
      <c r="G15" s="7" t="s">
        <v>1871</v>
      </c>
      <c r="H15" s="7">
        <v>12747162</v>
      </c>
      <c r="I15" s="7">
        <v>5</v>
      </c>
      <c r="J15" s="7" t="s">
        <v>2575</v>
      </c>
      <c r="K15" s="8">
        <v>27515904</v>
      </c>
      <c r="L15" s="7" t="s">
        <v>1898</v>
      </c>
      <c r="M15" s="7" t="s">
        <v>2122</v>
      </c>
      <c r="N15" s="7" t="s">
        <v>2167</v>
      </c>
      <c r="O15" s="7"/>
      <c r="P15" s="13" t="s">
        <v>2576</v>
      </c>
    </row>
    <row r="16" spans="1:16" ht="30" x14ac:dyDescent="0.25">
      <c r="A16" s="7" t="s">
        <v>1866</v>
      </c>
      <c r="B16" s="7" t="str">
        <f>"0510"</f>
        <v>0510</v>
      </c>
      <c r="C16" s="7">
        <v>2020</v>
      </c>
      <c r="D16" s="7" t="s">
        <v>1867</v>
      </c>
      <c r="E16" s="7" t="s">
        <v>1868</v>
      </c>
      <c r="F16" s="7" t="s">
        <v>2618</v>
      </c>
      <c r="G16" s="7" t="s">
        <v>1871</v>
      </c>
      <c r="H16" s="7">
        <v>1089459243</v>
      </c>
      <c r="I16" s="7">
        <v>9</v>
      </c>
      <c r="J16" s="7" t="s">
        <v>2619</v>
      </c>
      <c r="K16" s="8">
        <v>27515904</v>
      </c>
      <c r="L16" s="7" t="s">
        <v>1898</v>
      </c>
      <c r="M16" s="7" t="s">
        <v>2298</v>
      </c>
      <c r="N16" s="7" t="s">
        <v>2167</v>
      </c>
      <c r="O16" s="7"/>
      <c r="P16" s="13" t="s">
        <v>2620</v>
      </c>
    </row>
    <row r="17" spans="1:16" ht="30" x14ac:dyDescent="0.25">
      <c r="A17" s="7" t="s">
        <v>1866</v>
      </c>
      <c r="B17" s="7" t="str">
        <f>"0639"</f>
        <v>0639</v>
      </c>
      <c r="C17" s="7">
        <v>2020</v>
      </c>
      <c r="D17" s="7" t="s">
        <v>1867</v>
      </c>
      <c r="E17" s="7" t="s">
        <v>1868</v>
      </c>
      <c r="F17" s="7" t="s">
        <v>1873</v>
      </c>
      <c r="G17" s="7" t="s">
        <v>1871</v>
      </c>
      <c r="H17" s="7">
        <v>1085635111</v>
      </c>
      <c r="I17" s="7">
        <v>5</v>
      </c>
      <c r="J17" s="7" t="s">
        <v>1882</v>
      </c>
      <c r="K17" s="8">
        <v>27515904</v>
      </c>
      <c r="L17" s="7" t="s">
        <v>1966</v>
      </c>
      <c r="M17" s="7" t="s">
        <v>2022</v>
      </c>
      <c r="N17" s="7" t="s">
        <v>2167</v>
      </c>
      <c r="O17" s="7"/>
      <c r="P17" s="13" t="s">
        <v>2879</v>
      </c>
    </row>
    <row r="18" spans="1:16" ht="30" x14ac:dyDescent="0.25">
      <c r="A18" s="7" t="s">
        <v>1866</v>
      </c>
      <c r="B18" s="7" t="str">
        <f>"0640"</f>
        <v>0640</v>
      </c>
      <c r="C18" s="7">
        <v>2020</v>
      </c>
      <c r="D18" s="7" t="s">
        <v>1867</v>
      </c>
      <c r="E18" s="7" t="s">
        <v>1868</v>
      </c>
      <c r="F18" s="7" t="s">
        <v>1873</v>
      </c>
      <c r="G18" s="7" t="s">
        <v>1871</v>
      </c>
      <c r="H18" s="7">
        <v>1085288275</v>
      </c>
      <c r="I18" s="7">
        <v>5</v>
      </c>
      <c r="J18" s="7" t="s">
        <v>2880</v>
      </c>
      <c r="K18" s="8">
        <v>27515904</v>
      </c>
      <c r="L18" s="7" t="s">
        <v>1966</v>
      </c>
      <c r="M18" s="7" t="s">
        <v>2173</v>
      </c>
      <c r="N18" s="7" t="s">
        <v>2167</v>
      </c>
      <c r="O18" s="7"/>
      <c r="P18" s="13" t="s">
        <v>2881</v>
      </c>
    </row>
    <row r="19" spans="1:16" ht="30" x14ac:dyDescent="0.25">
      <c r="A19" s="7" t="s">
        <v>1866</v>
      </c>
      <c r="B19" s="7" t="str">
        <f>"0641"</f>
        <v>0641</v>
      </c>
      <c r="C19" s="7">
        <v>2020</v>
      </c>
      <c r="D19" s="7" t="s">
        <v>1867</v>
      </c>
      <c r="E19" s="7" t="s">
        <v>1868</v>
      </c>
      <c r="F19" s="7" t="s">
        <v>2882</v>
      </c>
      <c r="G19" s="7" t="s">
        <v>1871</v>
      </c>
      <c r="H19" s="7">
        <v>98396813</v>
      </c>
      <c r="I19" s="7">
        <v>7</v>
      </c>
      <c r="J19" s="7" t="s">
        <v>2883</v>
      </c>
      <c r="K19" s="8">
        <v>27515904</v>
      </c>
      <c r="L19" s="7" t="s">
        <v>1966</v>
      </c>
      <c r="M19" s="7" t="s">
        <v>2116</v>
      </c>
      <c r="N19" s="7" t="s">
        <v>2167</v>
      </c>
      <c r="O19" s="7"/>
      <c r="P19" s="13" t="s">
        <v>2884</v>
      </c>
    </row>
    <row r="20" spans="1:16" ht="30" x14ac:dyDescent="0.25">
      <c r="A20" s="7" t="s">
        <v>1866</v>
      </c>
      <c r="B20" s="7" t="str">
        <f>"0276"</f>
        <v>0276</v>
      </c>
      <c r="C20" s="7">
        <v>2020</v>
      </c>
      <c r="D20" s="7" t="s">
        <v>1867</v>
      </c>
      <c r="E20" s="7" t="s">
        <v>1868</v>
      </c>
      <c r="F20" s="7" t="s">
        <v>2195</v>
      </c>
      <c r="G20" s="7" t="s">
        <v>1871</v>
      </c>
      <c r="H20" s="7">
        <v>12978396</v>
      </c>
      <c r="I20" s="7">
        <v>2</v>
      </c>
      <c r="J20" s="7" t="s">
        <v>2196</v>
      </c>
      <c r="K20" s="8">
        <v>27515904</v>
      </c>
      <c r="L20" s="7" t="s">
        <v>1898</v>
      </c>
      <c r="M20" s="7" t="s">
        <v>2152</v>
      </c>
      <c r="N20" s="7" t="s">
        <v>2197</v>
      </c>
      <c r="O20" s="7"/>
      <c r="P20" s="13" t="s">
        <v>2198</v>
      </c>
    </row>
    <row r="21" spans="1:16" ht="30" x14ac:dyDescent="0.25">
      <c r="A21" s="7" t="s">
        <v>1866</v>
      </c>
      <c r="B21" s="7" t="str">
        <f>"0277"</f>
        <v>0277</v>
      </c>
      <c r="C21" s="7">
        <v>2020</v>
      </c>
      <c r="D21" s="7" t="s">
        <v>1867</v>
      </c>
      <c r="E21" s="7" t="s">
        <v>1868</v>
      </c>
      <c r="F21" s="7" t="s">
        <v>2199</v>
      </c>
      <c r="G21" s="7" t="s">
        <v>1871</v>
      </c>
      <c r="H21" s="7">
        <v>1085306850</v>
      </c>
      <c r="I21" s="7">
        <v>9</v>
      </c>
      <c r="J21" s="7" t="s">
        <v>2200</v>
      </c>
      <c r="K21" s="8">
        <v>27515904</v>
      </c>
      <c r="L21" s="7" t="s">
        <v>1898</v>
      </c>
      <c r="M21" s="7" t="s">
        <v>2116</v>
      </c>
      <c r="N21" s="7" t="s">
        <v>2197</v>
      </c>
      <c r="O21" s="7"/>
      <c r="P21" s="13" t="s">
        <v>2201</v>
      </c>
    </row>
    <row r="22" spans="1:16" ht="30" x14ac:dyDescent="0.25">
      <c r="A22" s="7" t="s">
        <v>1866</v>
      </c>
      <c r="B22" s="7" t="str">
        <f>"0447"</f>
        <v>0447</v>
      </c>
      <c r="C22" s="7">
        <v>2020</v>
      </c>
      <c r="D22" s="7" t="s">
        <v>1867</v>
      </c>
      <c r="E22" s="7" t="s">
        <v>1868</v>
      </c>
      <c r="F22" s="7" t="s">
        <v>2577</v>
      </c>
      <c r="G22" s="7" t="s">
        <v>1871</v>
      </c>
      <c r="H22" s="7">
        <v>1085306794</v>
      </c>
      <c r="I22" s="7">
        <v>4</v>
      </c>
      <c r="J22" s="7" t="s">
        <v>2578</v>
      </c>
      <c r="K22" s="8">
        <v>27515904</v>
      </c>
      <c r="L22" s="7" t="s">
        <v>1898</v>
      </c>
      <c r="M22" s="7" t="s">
        <v>2122</v>
      </c>
      <c r="N22" s="7" t="s">
        <v>2197</v>
      </c>
      <c r="O22" s="7"/>
      <c r="P22" s="13" t="s">
        <v>2579</v>
      </c>
    </row>
    <row r="23" spans="1:16" ht="30" x14ac:dyDescent="0.25">
      <c r="A23" s="7" t="s">
        <v>1866</v>
      </c>
      <c r="B23" s="7" t="str">
        <f>"0756"</f>
        <v>0756</v>
      </c>
      <c r="C23" s="7">
        <v>2020</v>
      </c>
      <c r="D23" s="7" t="s">
        <v>1867</v>
      </c>
      <c r="E23" s="7" t="s">
        <v>1868</v>
      </c>
      <c r="F23" s="7" t="s">
        <v>3016</v>
      </c>
      <c r="G23" s="7" t="s">
        <v>1871</v>
      </c>
      <c r="H23" s="7">
        <v>1085250622</v>
      </c>
      <c r="I23" s="7">
        <v>3</v>
      </c>
      <c r="J23" s="7" t="s">
        <v>3017</v>
      </c>
      <c r="K23" s="8">
        <v>27515904</v>
      </c>
      <c r="L23" s="7" t="s">
        <v>1980</v>
      </c>
      <c r="M23" s="7" t="s">
        <v>2171</v>
      </c>
      <c r="N23" s="7" t="s">
        <v>2432</v>
      </c>
      <c r="O23" s="7"/>
      <c r="P23" s="13" t="s">
        <v>3018</v>
      </c>
    </row>
    <row r="24" spans="1:16" ht="30" x14ac:dyDescent="0.25">
      <c r="A24" s="7" t="s">
        <v>1866</v>
      </c>
      <c r="B24" s="7" t="str">
        <f>"0823"</f>
        <v>0823</v>
      </c>
      <c r="C24" s="7">
        <v>2020</v>
      </c>
      <c r="D24" s="7" t="s">
        <v>1867</v>
      </c>
      <c r="E24" s="7" t="s">
        <v>1868</v>
      </c>
      <c r="F24" s="7" t="s">
        <v>3134</v>
      </c>
      <c r="G24" s="7" t="s">
        <v>1871</v>
      </c>
      <c r="H24" s="7">
        <v>1085281583</v>
      </c>
      <c r="I24" s="7">
        <v>7</v>
      </c>
      <c r="J24" s="7" t="s">
        <v>3135</v>
      </c>
      <c r="K24" s="8">
        <v>27515904</v>
      </c>
      <c r="L24" s="7" t="s">
        <v>2037</v>
      </c>
      <c r="M24" s="7" t="s">
        <v>2173</v>
      </c>
      <c r="N24" s="7" t="s">
        <v>2696</v>
      </c>
      <c r="O24" s="7"/>
      <c r="P24" s="13" t="s">
        <v>3136</v>
      </c>
    </row>
    <row r="25" spans="1:16" ht="30" x14ac:dyDescent="0.25">
      <c r="A25" s="7" t="s">
        <v>1866</v>
      </c>
      <c r="B25" s="7" t="str">
        <f>"0824"</f>
        <v>0824</v>
      </c>
      <c r="C25" s="7">
        <v>2020</v>
      </c>
      <c r="D25" s="7" t="s">
        <v>1867</v>
      </c>
      <c r="E25" s="7" t="s">
        <v>1868</v>
      </c>
      <c r="F25" s="7" t="s">
        <v>3137</v>
      </c>
      <c r="G25" s="7" t="s">
        <v>1871</v>
      </c>
      <c r="H25" s="7">
        <v>36756261</v>
      </c>
      <c r="I25" s="7">
        <v>1</v>
      </c>
      <c r="J25" s="7" t="s">
        <v>3138</v>
      </c>
      <c r="K25" s="8">
        <v>27515904</v>
      </c>
      <c r="L25" s="7" t="s">
        <v>2037</v>
      </c>
      <c r="M25" s="7" t="s">
        <v>2173</v>
      </c>
      <c r="N25" s="7" t="s">
        <v>2696</v>
      </c>
      <c r="O25" s="7"/>
      <c r="P25" s="13" t="s">
        <v>3139</v>
      </c>
    </row>
    <row r="26" spans="1:16" ht="30" x14ac:dyDescent="0.25">
      <c r="A26" s="7" t="s">
        <v>1866</v>
      </c>
      <c r="B26" s="7" t="str">
        <f>"0822"</f>
        <v>0822</v>
      </c>
      <c r="C26" s="7">
        <v>2020</v>
      </c>
      <c r="D26" s="7" t="s">
        <v>1867</v>
      </c>
      <c r="E26" s="7" t="s">
        <v>1868</v>
      </c>
      <c r="F26" s="7" t="s">
        <v>3130</v>
      </c>
      <c r="G26" s="7" t="s">
        <v>1871</v>
      </c>
      <c r="H26" s="7">
        <v>1085305438</v>
      </c>
      <c r="I26" s="7">
        <v>2</v>
      </c>
      <c r="J26" s="7" t="s">
        <v>3131</v>
      </c>
      <c r="K26" s="8">
        <v>27515904</v>
      </c>
      <c r="L26" s="7" t="s">
        <v>2037</v>
      </c>
      <c r="M26" s="7" t="s">
        <v>2173</v>
      </c>
      <c r="N26" s="7" t="s">
        <v>3132</v>
      </c>
      <c r="O26" s="7"/>
      <c r="P26" s="13" t="s">
        <v>3133</v>
      </c>
    </row>
    <row r="27" spans="1:16" ht="30" x14ac:dyDescent="0.25">
      <c r="A27" s="7" t="s">
        <v>1866</v>
      </c>
      <c r="B27" s="7" t="str">
        <f>"0828"</f>
        <v>0828</v>
      </c>
      <c r="C27" s="7">
        <v>2020</v>
      </c>
      <c r="D27" s="7" t="s">
        <v>1867</v>
      </c>
      <c r="E27" s="7" t="s">
        <v>1868</v>
      </c>
      <c r="F27" s="7" t="s">
        <v>3149</v>
      </c>
      <c r="G27" s="7" t="s">
        <v>1871</v>
      </c>
      <c r="H27" s="7">
        <v>87574963</v>
      </c>
      <c r="I27" s="7">
        <v>7</v>
      </c>
      <c r="J27" s="7" t="s">
        <v>3150</v>
      </c>
      <c r="K27" s="8">
        <v>27515904</v>
      </c>
      <c r="L27" s="7" t="s">
        <v>2035</v>
      </c>
      <c r="M27" s="7" t="s">
        <v>2298</v>
      </c>
      <c r="N27" s="7" t="s">
        <v>3132</v>
      </c>
      <c r="O27" s="7"/>
      <c r="P27" s="13" t="s">
        <v>3151</v>
      </c>
    </row>
    <row r="28" spans="1:16" ht="30" x14ac:dyDescent="0.25">
      <c r="A28" s="7" t="s">
        <v>1921</v>
      </c>
      <c r="B28" s="7" t="str">
        <f>"0217"</f>
        <v>0217</v>
      </c>
      <c r="C28" s="7">
        <v>2020</v>
      </c>
      <c r="D28" s="7" t="s">
        <v>1867</v>
      </c>
      <c r="E28" s="7" t="s">
        <v>1868</v>
      </c>
      <c r="F28" s="7" t="s">
        <v>2114</v>
      </c>
      <c r="G28" s="7" t="s">
        <v>1871</v>
      </c>
      <c r="H28" s="7">
        <v>1087006503</v>
      </c>
      <c r="I28" s="7">
        <v>8</v>
      </c>
      <c r="J28" s="7" t="s">
        <v>2115</v>
      </c>
      <c r="K28" s="8">
        <v>27515904</v>
      </c>
      <c r="L28" s="7" t="s">
        <v>1992</v>
      </c>
      <c r="M28" s="7" t="s">
        <v>2116</v>
      </c>
      <c r="N28" s="7" t="s">
        <v>2117</v>
      </c>
      <c r="O28" s="7"/>
      <c r="P28" s="13" t="s">
        <v>2118</v>
      </c>
    </row>
    <row r="29" spans="1:16" ht="30" x14ac:dyDescent="0.25">
      <c r="A29" s="7" t="s">
        <v>1921</v>
      </c>
      <c r="B29" s="7" t="str">
        <f>"0225"</f>
        <v>0225</v>
      </c>
      <c r="C29" s="7">
        <v>2020</v>
      </c>
      <c r="D29" s="7" t="s">
        <v>1867</v>
      </c>
      <c r="E29" s="7" t="s">
        <v>1868</v>
      </c>
      <c r="F29" s="7" t="s">
        <v>2135</v>
      </c>
      <c r="G29" s="7" t="s">
        <v>1871</v>
      </c>
      <c r="H29" s="7">
        <v>1085314087</v>
      </c>
      <c r="I29" s="7">
        <v>9</v>
      </c>
      <c r="J29" s="7" t="s">
        <v>2136</v>
      </c>
      <c r="K29" s="8">
        <v>27515904</v>
      </c>
      <c r="L29" s="7" t="s">
        <v>1992</v>
      </c>
      <c r="M29" s="7" t="s">
        <v>2022</v>
      </c>
      <c r="N29" s="7" t="s">
        <v>2127</v>
      </c>
      <c r="O29" s="7"/>
      <c r="P29" s="13" t="s">
        <v>2137</v>
      </c>
    </row>
    <row r="30" spans="1:16" ht="30" x14ac:dyDescent="0.25">
      <c r="A30" s="7" t="s">
        <v>1921</v>
      </c>
      <c r="B30" s="7" t="str">
        <f>"0444"</f>
        <v>0444</v>
      </c>
      <c r="C30" s="7">
        <v>2020</v>
      </c>
      <c r="D30" s="7" t="s">
        <v>1867</v>
      </c>
      <c r="E30" s="7" t="s">
        <v>1875</v>
      </c>
      <c r="F30" s="7" t="s">
        <v>2567</v>
      </c>
      <c r="G30" s="7" t="s">
        <v>1871</v>
      </c>
      <c r="H30" s="7">
        <v>1085310721</v>
      </c>
      <c r="I30" s="7">
        <v>2</v>
      </c>
      <c r="J30" s="7" t="s">
        <v>2568</v>
      </c>
      <c r="K30" s="8">
        <v>21200000</v>
      </c>
      <c r="L30" s="7" t="s">
        <v>1898</v>
      </c>
      <c r="M30" s="7" t="s">
        <v>2062</v>
      </c>
      <c r="N30" s="7" t="s">
        <v>2167</v>
      </c>
      <c r="O30" s="7"/>
      <c r="P30" s="13" t="s">
        <v>2569</v>
      </c>
    </row>
    <row r="31" spans="1:16" ht="30" x14ac:dyDescent="0.25">
      <c r="A31" s="7" t="s">
        <v>1921</v>
      </c>
      <c r="B31" s="7" t="str">
        <f>"0451"</f>
        <v>0451</v>
      </c>
      <c r="C31" s="7">
        <v>2020</v>
      </c>
      <c r="D31" s="7" t="s">
        <v>1867</v>
      </c>
      <c r="E31" s="7" t="s">
        <v>1868</v>
      </c>
      <c r="F31" s="7" t="s">
        <v>2580</v>
      </c>
      <c r="G31" s="7" t="s">
        <v>1871</v>
      </c>
      <c r="H31" s="7">
        <v>1094347478</v>
      </c>
      <c r="I31" s="7">
        <v>1</v>
      </c>
      <c r="J31" s="7" t="s">
        <v>2581</v>
      </c>
      <c r="K31" s="8">
        <v>40000000</v>
      </c>
      <c r="L31" s="7" t="s">
        <v>1898</v>
      </c>
      <c r="M31" s="7" t="s">
        <v>2022</v>
      </c>
      <c r="N31" s="7" t="s">
        <v>2167</v>
      </c>
      <c r="O31" s="7"/>
      <c r="P31" s="13" t="s">
        <v>2582</v>
      </c>
    </row>
    <row r="32" spans="1:16" ht="30" x14ac:dyDescent="0.25">
      <c r="A32" s="7" t="s">
        <v>1921</v>
      </c>
      <c r="B32" s="7" t="str">
        <f>"1011"</f>
        <v>1011</v>
      </c>
      <c r="C32" s="7">
        <v>2020</v>
      </c>
      <c r="D32" s="7" t="s">
        <v>1867</v>
      </c>
      <c r="E32" s="7" t="s">
        <v>1875</v>
      </c>
      <c r="F32" s="7" t="s">
        <v>3464</v>
      </c>
      <c r="G32" s="7" t="s">
        <v>1871</v>
      </c>
      <c r="H32" s="7">
        <v>12753914</v>
      </c>
      <c r="I32" s="7">
        <v>1</v>
      </c>
      <c r="J32" s="7" t="s">
        <v>3465</v>
      </c>
      <c r="K32" s="8">
        <v>22050000</v>
      </c>
      <c r="L32" s="7" t="s">
        <v>2298</v>
      </c>
      <c r="M32" s="7" t="s">
        <v>2832</v>
      </c>
      <c r="N32" s="7" t="s">
        <v>2205</v>
      </c>
      <c r="O32" s="7"/>
      <c r="P32" s="13" t="s">
        <v>3466</v>
      </c>
    </row>
    <row r="33" spans="1:16" ht="30" x14ac:dyDescent="0.25">
      <c r="A33" s="7" t="s">
        <v>1921</v>
      </c>
      <c r="B33" s="7" t="str">
        <f>"0649"</f>
        <v>0649</v>
      </c>
      <c r="C33" s="7">
        <v>2020</v>
      </c>
      <c r="D33" s="7" t="s">
        <v>1867</v>
      </c>
      <c r="E33" s="7" t="s">
        <v>1875</v>
      </c>
      <c r="F33" s="7" t="s">
        <v>2906</v>
      </c>
      <c r="G33" s="7" t="s">
        <v>1871</v>
      </c>
      <c r="H33" s="7">
        <v>1085254774</v>
      </c>
      <c r="I33" s="7">
        <v>2</v>
      </c>
      <c r="J33" s="7" t="s">
        <v>2907</v>
      </c>
      <c r="K33" s="8">
        <v>21200000</v>
      </c>
      <c r="L33" s="7" t="s">
        <v>1997</v>
      </c>
      <c r="M33" s="7" t="s">
        <v>2417</v>
      </c>
      <c r="N33" s="7" t="s">
        <v>2903</v>
      </c>
      <c r="O33" s="7"/>
      <c r="P33" s="13" t="s">
        <v>2908</v>
      </c>
    </row>
    <row r="34" spans="1:16" ht="30" x14ac:dyDescent="0.25">
      <c r="A34" s="7" t="s">
        <v>1921</v>
      </c>
      <c r="B34" s="7" t="str">
        <f>"1010"</f>
        <v>1010</v>
      </c>
      <c r="C34" s="7">
        <v>2020</v>
      </c>
      <c r="D34" s="7" t="s">
        <v>1867</v>
      </c>
      <c r="E34" s="7" t="s">
        <v>1868</v>
      </c>
      <c r="F34" s="7" t="s">
        <v>3460</v>
      </c>
      <c r="G34" s="7" t="s">
        <v>1871</v>
      </c>
      <c r="H34" s="7">
        <v>37086201</v>
      </c>
      <c r="I34" s="7">
        <v>3</v>
      </c>
      <c r="J34" s="7" t="s">
        <v>3461</v>
      </c>
      <c r="K34" s="8">
        <v>27576416</v>
      </c>
      <c r="L34" s="7" t="s">
        <v>2298</v>
      </c>
      <c r="M34" s="7" t="s">
        <v>3462</v>
      </c>
      <c r="N34" s="7" t="s">
        <v>2903</v>
      </c>
      <c r="O34" s="7"/>
      <c r="P34" s="13" t="s">
        <v>3463</v>
      </c>
    </row>
    <row r="35" spans="1:16" ht="30" x14ac:dyDescent="0.25">
      <c r="A35" s="7" t="s">
        <v>1921</v>
      </c>
      <c r="B35" s="7" t="str">
        <f>"0780"</f>
        <v>0780</v>
      </c>
      <c r="C35" s="7">
        <v>2020</v>
      </c>
      <c r="D35" s="7" t="s">
        <v>1867</v>
      </c>
      <c r="E35" s="7" t="s">
        <v>1868</v>
      </c>
      <c r="F35" s="7" t="s">
        <v>3070</v>
      </c>
      <c r="G35" s="7" t="s">
        <v>1871</v>
      </c>
      <c r="H35" s="7">
        <v>27396299</v>
      </c>
      <c r="I35" s="7">
        <v>2</v>
      </c>
      <c r="J35" s="7" t="s">
        <v>3071</v>
      </c>
      <c r="K35" s="8">
        <v>27515904</v>
      </c>
      <c r="L35" s="7" t="s">
        <v>1982</v>
      </c>
      <c r="M35" s="7" t="s">
        <v>2417</v>
      </c>
      <c r="N35" s="7" t="s">
        <v>2822</v>
      </c>
      <c r="O35" s="7"/>
      <c r="P35" s="13" t="s">
        <v>3072</v>
      </c>
    </row>
    <row r="36" spans="1:16" ht="30" x14ac:dyDescent="0.25">
      <c r="A36" s="7" t="s">
        <v>1921</v>
      </c>
      <c r="B36" s="7" t="str">
        <f>"0781"</f>
        <v>0781</v>
      </c>
      <c r="C36" s="7">
        <v>2020</v>
      </c>
      <c r="D36" s="7" t="s">
        <v>1867</v>
      </c>
      <c r="E36" s="7" t="s">
        <v>1868</v>
      </c>
      <c r="F36" s="7" t="s">
        <v>3073</v>
      </c>
      <c r="G36" s="7" t="s">
        <v>1871</v>
      </c>
      <c r="H36" s="7">
        <v>1085912575</v>
      </c>
      <c r="I36" s="7">
        <v>7</v>
      </c>
      <c r="J36" s="7" t="s">
        <v>3074</v>
      </c>
      <c r="K36" s="8">
        <v>27515904</v>
      </c>
      <c r="L36" s="7" t="s">
        <v>1982</v>
      </c>
      <c r="M36" s="7" t="s">
        <v>2417</v>
      </c>
      <c r="N36" s="7" t="s">
        <v>2822</v>
      </c>
      <c r="O36" s="7"/>
      <c r="P36" s="13" t="s">
        <v>3075</v>
      </c>
    </row>
    <row r="37" spans="1:16" ht="30" x14ac:dyDescent="0.25">
      <c r="A37" s="7" t="s">
        <v>1921</v>
      </c>
      <c r="B37" s="7" t="str">
        <f>"0782"</f>
        <v>0782</v>
      </c>
      <c r="C37" s="7">
        <v>2020</v>
      </c>
      <c r="D37" s="7" t="s">
        <v>1867</v>
      </c>
      <c r="E37" s="7" t="s">
        <v>1868</v>
      </c>
      <c r="F37" s="7" t="s">
        <v>3076</v>
      </c>
      <c r="G37" s="7" t="s">
        <v>1871</v>
      </c>
      <c r="H37" s="7">
        <v>87215500</v>
      </c>
      <c r="I37" s="7">
        <v>1</v>
      </c>
      <c r="J37" s="7" t="s">
        <v>3077</v>
      </c>
      <c r="K37" s="8">
        <v>27515904</v>
      </c>
      <c r="L37" s="7" t="s">
        <v>1982</v>
      </c>
      <c r="M37" s="7" t="s">
        <v>2417</v>
      </c>
      <c r="N37" s="7" t="s">
        <v>2822</v>
      </c>
      <c r="O37" s="7"/>
      <c r="P37" s="13" t="s">
        <v>3078</v>
      </c>
    </row>
    <row r="38" spans="1:16" ht="30" x14ac:dyDescent="0.25">
      <c r="A38" s="7" t="s">
        <v>1921</v>
      </c>
      <c r="B38" s="7" t="str">
        <f>"0783"</f>
        <v>0783</v>
      </c>
      <c r="C38" s="7">
        <v>2020</v>
      </c>
      <c r="D38" s="7" t="s">
        <v>1867</v>
      </c>
      <c r="E38" s="7" t="s">
        <v>1875</v>
      </c>
      <c r="F38" s="7" t="s">
        <v>3079</v>
      </c>
      <c r="G38" s="7" t="s">
        <v>1871</v>
      </c>
      <c r="H38" s="7">
        <v>1085899967</v>
      </c>
      <c r="I38" s="7">
        <v>5</v>
      </c>
      <c r="J38" s="7" t="s">
        <v>3080</v>
      </c>
      <c r="K38" s="8">
        <v>21200000</v>
      </c>
      <c r="L38" s="7" t="s">
        <v>1982</v>
      </c>
      <c r="M38" s="7" t="s">
        <v>2417</v>
      </c>
      <c r="N38" s="7" t="s">
        <v>2822</v>
      </c>
      <c r="O38" s="7"/>
      <c r="P38" s="13" t="s">
        <v>3081</v>
      </c>
    </row>
    <row r="39" spans="1:16" ht="30" x14ac:dyDescent="0.25">
      <c r="A39" s="7" t="s">
        <v>1921</v>
      </c>
      <c r="B39" s="7" t="str">
        <f>"0842"</f>
        <v>0842</v>
      </c>
      <c r="C39" s="7">
        <v>2020</v>
      </c>
      <c r="D39" s="7" t="s">
        <v>1867</v>
      </c>
      <c r="E39" s="7" t="s">
        <v>1868</v>
      </c>
      <c r="F39" s="7" t="s">
        <v>3174</v>
      </c>
      <c r="G39" s="7" t="s">
        <v>1871</v>
      </c>
      <c r="H39" s="7">
        <v>27309206</v>
      </c>
      <c r="I39" s="7">
        <v>7</v>
      </c>
      <c r="J39" s="7" t="s">
        <v>3175</v>
      </c>
      <c r="K39" s="8">
        <v>27515904</v>
      </c>
      <c r="L39" s="7" t="s">
        <v>1914</v>
      </c>
      <c r="M39" s="7" t="s">
        <v>2306</v>
      </c>
      <c r="N39" s="7" t="s">
        <v>3176</v>
      </c>
      <c r="O39" s="7"/>
      <c r="P39" s="13" t="s">
        <v>3177</v>
      </c>
    </row>
    <row r="40" spans="1:16" ht="30" x14ac:dyDescent="0.25">
      <c r="A40" s="7" t="s">
        <v>1921</v>
      </c>
      <c r="B40" s="7" t="str">
        <f>"0843"</f>
        <v>0843</v>
      </c>
      <c r="C40" s="7">
        <v>2020</v>
      </c>
      <c r="D40" s="7" t="s">
        <v>1867</v>
      </c>
      <c r="E40" s="7" t="s">
        <v>1868</v>
      </c>
      <c r="F40" s="7" t="s">
        <v>3178</v>
      </c>
      <c r="G40" s="7" t="s">
        <v>1871</v>
      </c>
      <c r="H40" s="7">
        <v>98384513</v>
      </c>
      <c r="I40" s="7">
        <v>0</v>
      </c>
      <c r="J40" s="7" t="s">
        <v>3179</v>
      </c>
      <c r="K40" s="8">
        <v>27515904</v>
      </c>
      <c r="L40" s="7" t="s">
        <v>1914</v>
      </c>
      <c r="M40" s="7" t="s">
        <v>2107</v>
      </c>
      <c r="N40" s="7" t="s">
        <v>3176</v>
      </c>
      <c r="O40" s="7"/>
      <c r="P40" s="13" t="s">
        <v>3180</v>
      </c>
    </row>
    <row r="41" spans="1:16" ht="30" x14ac:dyDescent="0.25">
      <c r="A41" s="7" t="s">
        <v>1921</v>
      </c>
      <c r="B41" s="7" t="str">
        <f>"0844"</f>
        <v>0844</v>
      </c>
      <c r="C41" s="7">
        <v>2020</v>
      </c>
      <c r="D41" s="7" t="s">
        <v>1867</v>
      </c>
      <c r="E41" s="7" t="s">
        <v>1875</v>
      </c>
      <c r="F41" s="7" t="s">
        <v>3181</v>
      </c>
      <c r="G41" s="7" t="s">
        <v>1871</v>
      </c>
      <c r="H41" s="7">
        <v>1085266845</v>
      </c>
      <c r="I41" s="7">
        <v>9</v>
      </c>
      <c r="J41" s="7" t="s">
        <v>3182</v>
      </c>
      <c r="K41" s="8">
        <v>21200000</v>
      </c>
      <c r="L41" s="7" t="s">
        <v>1914</v>
      </c>
      <c r="M41" s="7" t="s">
        <v>2107</v>
      </c>
      <c r="N41" s="7" t="s">
        <v>3176</v>
      </c>
      <c r="O41" s="7"/>
      <c r="P41" s="13" t="s">
        <v>3183</v>
      </c>
    </row>
    <row r="42" spans="1:16" ht="30" x14ac:dyDescent="0.25">
      <c r="A42" s="7" t="s">
        <v>1921</v>
      </c>
      <c r="B42" s="7" t="str">
        <f>"1239"</f>
        <v>1239</v>
      </c>
      <c r="C42" s="7">
        <v>2020</v>
      </c>
      <c r="D42" s="7" t="s">
        <v>1867</v>
      </c>
      <c r="E42" s="7" t="s">
        <v>1875</v>
      </c>
      <c r="F42" s="7" t="s">
        <v>3715</v>
      </c>
      <c r="G42" s="7" t="s">
        <v>1871</v>
      </c>
      <c r="H42" s="7">
        <v>36997291</v>
      </c>
      <c r="I42" s="7">
        <v>6</v>
      </c>
      <c r="J42" s="7" t="s">
        <v>3716</v>
      </c>
      <c r="K42" s="8">
        <v>7420000</v>
      </c>
      <c r="L42" s="7" t="s">
        <v>2350</v>
      </c>
      <c r="M42" s="7" t="s">
        <v>3377</v>
      </c>
      <c r="N42" s="7" t="s">
        <v>3210</v>
      </c>
      <c r="O42" s="7"/>
      <c r="P42" s="13" t="s">
        <v>3717</v>
      </c>
    </row>
    <row r="43" spans="1:16" x14ac:dyDescent="0.25">
      <c r="A43" s="7" t="s">
        <v>1921</v>
      </c>
      <c r="B43" s="7" t="str">
        <f>"1429"</f>
        <v>1429</v>
      </c>
      <c r="C43" s="7">
        <v>2020</v>
      </c>
      <c r="D43" s="7" t="s">
        <v>1867</v>
      </c>
      <c r="E43" s="7" t="s">
        <v>1868</v>
      </c>
      <c r="F43" s="7" t="s">
        <v>3906</v>
      </c>
      <c r="G43" s="7" t="s">
        <v>1871</v>
      </c>
      <c r="H43" s="7">
        <v>1018467842</v>
      </c>
      <c r="I43" s="7">
        <v>6</v>
      </c>
      <c r="J43" s="7" t="s">
        <v>3614</v>
      </c>
      <c r="K43" s="8">
        <v>13757952</v>
      </c>
      <c r="L43" s="7" t="s">
        <v>3850</v>
      </c>
      <c r="M43" s="7" t="s">
        <v>3907</v>
      </c>
      <c r="N43" s="7" t="s">
        <v>3658</v>
      </c>
      <c r="O43" s="7"/>
      <c r="P43" s="13" t="s">
        <v>1993</v>
      </c>
    </row>
    <row r="44" spans="1:16" ht="45" x14ac:dyDescent="0.25">
      <c r="A44" s="7" t="s">
        <v>1921</v>
      </c>
      <c r="B44" s="7" t="str">
        <f>"1437"</f>
        <v>1437</v>
      </c>
      <c r="C44" s="7">
        <v>2020</v>
      </c>
      <c r="D44" s="7" t="s">
        <v>1867</v>
      </c>
      <c r="E44" s="7" t="s">
        <v>1868</v>
      </c>
      <c r="F44" s="7" t="s">
        <v>3919</v>
      </c>
      <c r="G44" s="7" t="s">
        <v>1871</v>
      </c>
      <c r="H44" s="7">
        <v>27094128</v>
      </c>
      <c r="I44" s="7">
        <v>5</v>
      </c>
      <c r="J44" s="7" t="s">
        <v>1990</v>
      </c>
      <c r="K44" s="8">
        <v>16000000</v>
      </c>
      <c r="L44" s="7" t="s">
        <v>2041</v>
      </c>
      <c r="M44" s="7" t="s">
        <v>2041</v>
      </c>
      <c r="N44" s="7" t="s">
        <v>3658</v>
      </c>
      <c r="O44" s="7"/>
      <c r="P44" s="13" t="s">
        <v>3920</v>
      </c>
    </row>
    <row r="45" spans="1:16" ht="45" x14ac:dyDescent="0.25">
      <c r="A45" s="7" t="s">
        <v>1921</v>
      </c>
      <c r="B45" s="7" t="str">
        <f>"1438"</f>
        <v>1438</v>
      </c>
      <c r="C45" s="7">
        <v>2020</v>
      </c>
      <c r="D45" s="7" t="s">
        <v>1867</v>
      </c>
      <c r="E45" s="7" t="s">
        <v>1868</v>
      </c>
      <c r="F45" s="7" t="s">
        <v>3921</v>
      </c>
      <c r="G45" s="7" t="s">
        <v>1871</v>
      </c>
      <c r="H45" s="7">
        <v>1085265358</v>
      </c>
      <c r="I45" s="7">
        <v>9</v>
      </c>
      <c r="J45" s="7" t="s">
        <v>2106</v>
      </c>
      <c r="K45" s="8">
        <v>18800000</v>
      </c>
      <c r="L45" s="7" t="s">
        <v>2041</v>
      </c>
      <c r="M45" s="7" t="s">
        <v>2041</v>
      </c>
      <c r="N45" s="7" t="s">
        <v>3658</v>
      </c>
      <c r="O45" s="7"/>
      <c r="P45" s="13" t="s">
        <v>3922</v>
      </c>
    </row>
    <row r="46" spans="1:16" ht="45" x14ac:dyDescent="0.25">
      <c r="A46" s="7" t="s">
        <v>1921</v>
      </c>
      <c r="B46" s="7" t="str">
        <f>"1440"</f>
        <v>1440</v>
      </c>
      <c r="C46" s="7">
        <v>2020</v>
      </c>
      <c r="D46" s="7" t="s">
        <v>1867</v>
      </c>
      <c r="E46" s="7" t="s">
        <v>1868</v>
      </c>
      <c r="F46" s="7" t="s">
        <v>3923</v>
      </c>
      <c r="G46" s="7" t="s">
        <v>1871</v>
      </c>
      <c r="H46" s="7">
        <v>12990747</v>
      </c>
      <c r="I46" s="7">
        <v>3</v>
      </c>
      <c r="J46" s="7" t="s">
        <v>2112</v>
      </c>
      <c r="K46" s="8">
        <v>18800000</v>
      </c>
      <c r="L46" s="7" t="s">
        <v>2041</v>
      </c>
      <c r="M46" s="7" t="s">
        <v>2041</v>
      </c>
      <c r="N46" s="7" t="s">
        <v>3658</v>
      </c>
      <c r="O46" s="7"/>
      <c r="P46" s="13" t="s">
        <v>3924</v>
      </c>
    </row>
    <row r="47" spans="1:16" ht="45" x14ac:dyDescent="0.25">
      <c r="A47" s="7" t="s">
        <v>1921</v>
      </c>
      <c r="B47" s="7" t="str">
        <f>"1441"</f>
        <v>1441</v>
      </c>
      <c r="C47" s="7">
        <v>2020</v>
      </c>
      <c r="D47" s="7" t="s">
        <v>1867</v>
      </c>
      <c r="E47" s="7" t="s">
        <v>1868</v>
      </c>
      <c r="F47" s="7" t="s">
        <v>3925</v>
      </c>
      <c r="G47" s="7" t="s">
        <v>1871</v>
      </c>
      <c r="H47" s="7">
        <v>1084223678</v>
      </c>
      <c r="I47" s="7">
        <v>7</v>
      </c>
      <c r="J47" s="7" t="s">
        <v>2158</v>
      </c>
      <c r="K47" s="8">
        <v>16000000</v>
      </c>
      <c r="L47" s="7" t="s">
        <v>2041</v>
      </c>
      <c r="M47" s="7" t="s">
        <v>2041</v>
      </c>
      <c r="N47" s="7" t="s">
        <v>3658</v>
      </c>
      <c r="O47" s="7"/>
      <c r="P47" s="13" t="s">
        <v>3926</v>
      </c>
    </row>
    <row r="48" spans="1:16" ht="45" x14ac:dyDescent="0.25">
      <c r="A48" s="7" t="s">
        <v>1921</v>
      </c>
      <c r="B48" s="7" t="str">
        <f>"1442"</f>
        <v>1442</v>
      </c>
      <c r="C48" s="7">
        <v>2020</v>
      </c>
      <c r="D48" s="7" t="s">
        <v>1867</v>
      </c>
      <c r="E48" s="7" t="s">
        <v>1868</v>
      </c>
      <c r="F48" s="7" t="s">
        <v>3927</v>
      </c>
      <c r="G48" s="7" t="s">
        <v>1871</v>
      </c>
      <c r="H48" s="7">
        <v>59314315</v>
      </c>
      <c r="I48" s="7">
        <v>8</v>
      </c>
      <c r="J48" s="7" t="s">
        <v>2165</v>
      </c>
      <c r="K48" s="8">
        <v>18800000</v>
      </c>
      <c r="L48" s="7" t="s">
        <v>3119</v>
      </c>
      <c r="M48" s="7" t="s">
        <v>3119</v>
      </c>
      <c r="N48" s="7" t="s">
        <v>3688</v>
      </c>
      <c r="O48" s="7"/>
      <c r="P48" s="13" t="s">
        <v>3928</v>
      </c>
    </row>
    <row r="49" spans="1:16" x14ac:dyDescent="0.25">
      <c r="A49" s="7" t="s">
        <v>1921</v>
      </c>
      <c r="B49" s="7" t="str">
        <f>"1443"</f>
        <v>1443</v>
      </c>
      <c r="C49" s="7">
        <v>2020</v>
      </c>
      <c r="D49" s="7" t="s">
        <v>1867</v>
      </c>
      <c r="E49" s="7" t="s">
        <v>1868</v>
      </c>
      <c r="F49" s="7" t="s">
        <v>3929</v>
      </c>
      <c r="G49" s="7" t="s">
        <v>1871</v>
      </c>
      <c r="H49" s="7">
        <v>1082690874</v>
      </c>
      <c r="I49" s="7">
        <v>9</v>
      </c>
      <c r="J49" s="7" t="s">
        <v>3930</v>
      </c>
      <c r="K49" s="8">
        <v>14800000</v>
      </c>
      <c r="L49" s="7" t="s">
        <v>3119</v>
      </c>
      <c r="M49" s="7" t="s">
        <v>3119</v>
      </c>
      <c r="N49" s="7" t="s">
        <v>3688</v>
      </c>
      <c r="O49" s="7"/>
      <c r="P49" s="13" t="s">
        <v>1993</v>
      </c>
    </row>
    <row r="50" spans="1:16" x14ac:dyDescent="0.25">
      <c r="A50" s="7" t="s">
        <v>1921</v>
      </c>
      <c r="B50" s="7" t="str">
        <f>"1444"</f>
        <v>1444</v>
      </c>
      <c r="C50" s="7">
        <v>2020</v>
      </c>
      <c r="D50" s="7" t="s">
        <v>1867</v>
      </c>
      <c r="E50" s="7" t="s">
        <v>1868</v>
      </c>
      <c r="F50" s="7" t="s">
        <v>2159</v>
      </c>
      <c r="G50" s="7" t="s">
        <v>1871</v>
      </c>
      <c r="H50" s="7">
        <v>19350223</v>
      </c>
      <c r="I50" s="7">
        <v>6</v>
      </c>
      <c r="J50" s="7" t="s">
        <v>3931</v>
      </c>
      <c r="K50" s="8">
        <v>18800000</v>
      </c>
      <c r="L50" s="7" t="s">
        <v>3119</v>
      </c>
      <c r="M50" s="7" t="s">
        <v>3119</v>
      </c>
      <c r="N50" s="7" t="s">
        <v>3688</v>
      </c>
      <c r="O50" s="7"/>
      <c r="P50" s="13" t="s">
        <v>1993</v>
      </c>
    </row>
    <row r="51" spans="1:16" ht="45" x14ac:dyDescent="0.25">
      <c r="A51" s="7" t="s">
        <v>1921</v>
      </c>
      <c r="B51" s="7" t="str">
        <f>"1445"</f>
        <v>1445</v>
      </c>
      <c r="C51" s="7">
        <v>2020</v>
      </c>
      <c r="D51" s="7" t="s">
        <v>1867</v>
      </c>
      <c r="E51" s="7" t="s">
        <v>1868</v>
      </c>
      <c r="F51" s="7" t="s">
        <v>3932</v>
      </c>
      <c r="G51" s="7" t="s">
        <v>1871</v>
      </c>
      <c r="H51" s="7">
        <v>27090958</v>
      </c>
      <c r="I51" s="7">
        <v>3</v>
      </c>
      <c r="J51" s="7" t="s">
        <v>2905</v>
      </c>
      <c r="K51" s="8">
        <v>18800000</v>
      </c>
      <c r="L51" s="7" t="s">
        <v>3119</v>
      </c>
      <c r="M51" s="7" t="s">
        <v>3119</v>
      </c>
      <c r="N51" s="7" t="s">
        <v>3688</v>
      </c>
      <c r="O51" s="7"/>
      <c r="P51" s="13" t="s">
        <v>3933</v>
      </c>
    </row>
    <row r="52" spans="1:16" ht="45" x14ac:dyDescent="0.25">
      <c r="A52" s="7" t="s">
        <v>1921</v>
      </c>
      <c r="B52" s="7" t="str">
        <f>"1446"</f>
        <v>1446</v>
      </c>
      <c r="C52" s="7">
        <v>2020</v>
      </c>
      <c r="D52" s="7" t="s">
        <v>1867</v>
      </c>
      <c r="E52" s="7" t="s">
        <v>1868</v>
      </c>
      <c r="F52" s="7" t="s">
        <v>3934</v>
      </c>
      <c r="G52" s="7" t="s">
        <v>1871</v>
      </c>
      <c r="H52" s="7">
        <v>1084223558</v>
      </c>
      <c r="I52" s="7">
        <v>1</v>
      </c>
      <c r="J52" s="7" t="s">
        <v>2166</v>
      </c>
      <c r="K52" s="8">
        <v>18800000</v>
      </c>
      <c r="L52" s="7" t="s">
        <v>3119</v>
      </c>
      <c r="M52" s="7" t="s">
        <v>3119</v>
      </c>
      <c r="N52" s="7" t="s">
        <v>3688</v>
      </c>
      <c r="O52" s="7"/>
      <c r="P52" s="13" t="s">
        <v>3935</v>
      </c>
    </row>
    <row r="53" spans="1:16" ht="45" x14ac:dyDescent="0.25">
      <c r="A53" s="7" t="s">
        <v>1921</v>
      </c>
      <c r="B53" s="7" t="str">
        <f>"1448"</f>
        <v>1448</v>
      </c>
      <c r="C53" s="7">
        <v>2020</v>
      </c>
      <c r="D53" s="7" t="s">
        <v>1867</v>
      </c>
      <c r="E53" s="7" t="s">
        <v>1875</v>
      </c>
      <c r="F53" s="7" t="s">
        <v>2161</v>
      </c>
      <c r="G53" s="7" t="s">
        <v>1871</v>
      </c>
      <c r="H53" s="7">
        <v>91436731</v>
      </c>
      <c r="I53" s="7">
        <v>9</v>
      </c>
      <c r="J53" s="7" t="s">
        <v>2162</v>
      </c>
      <c r="K53" s="8">
        <v>13757952</v>
      </c>
      <c r="L53" s="7" t="s">
        <v>3119</v>
      </c>
      <c r="M53" s="7" t="s">
        <v>3119</v>
      </c>
      <c r="N53" s="7" t="s">
        <v>3688</v>
      </c>
      <c r="O53" s="7"/>
      <c r="P53" s="13" t="s">
        <v>3936</v>
      </c>
    </row>
    <row r="54" spans="1:16" ht="45" x14ac:dyDescent="0.25">
      <c r="A54" s="7" t="s">
        <v>1921</v>
      </c>
      <c r="B54" s="7" t="str">
        <f>"1449"</f>
        <v>1449</v>
      </c>
      <c r="C54" s="7">
        <v>2020</v>
      </c>
      <c r="D54" s="7" t="s">
        <v>1867</v>
      </c>
      <c r="E54" s="7" t="s">
        <v>1875</v>
      </c>
      <c r="F54" s="7" t="s">
        <v>3937</v>
      </c>
      <c r="G54" s="7" t="s">
        <v>1871</v>
      </c>
      <c r="H54" s="7">
        <v>30740886</v>
      </c>
      <c r="I54" s="7">
        <v>2</v>
      </c>
      <c r="J54" s="7" t="s">
        <v>1991</v>
      </c>
      <c r="K54" s="8">
        <v>11024000</v>
      </c>
      <c r="L54" s="7" t="s">
        <v>3119</v>
      </c>
      <c r="M54" s="7" t="s">
        <v>3119</v>
      </c>
      <c r="N54" s="7" t="s">
        <v>3688</v>
      </c>
      <c r="O54" s="7"/>
      <c r="P54" s="13" t="s">
        <v>3938</v>
      </c>
    </row>
    <row r="55" spans="1:16" ht="45" x14ac:dyDescent="0.25">
      <c r="A55" s="7" t="s">
        <v>1921</v>
      </c>
      <c r="B55" s="7" t="str">
        <f>"1450"</f>
        <v>1450</v>
      </c>
      <c r="C55" s="7">
        <v>2020</v>
      </c>
      <c r="D55" s="7" t="s">
        <v>1867</v>
      </c>
      <c r="E55" s="7" t="s">
        <v>1875</v>
      </c>
      <c r="F55" s="7" t="s">
        <v>3939</v>
      </c>
      <c r="G55" s="7" t="s">
        <v>1871</v>
      </c>
      <c r="H55" s="7">
        <v>91131416</v>
      </c>
      <c r="I55" s="7">
        <v>3</v>
      </c>
      <c r="J55" s="7" t="s">
        <v>2160</v>
      </c>
      <c r="K55" s="8">
        <v>13757952</v>
      </c>
      <c r="L55" s="7" t="s">
        <v>3119</v>
      </c>
      <c r="M55" s="7" t="s">
        <v>3119</v>
      </c>
      <c r="N55" s="7" t="s">
        <v>3688</v>
      </c>
      <c r="O55" s="7"/>
      <c r="P55" s="13" t="s">
        <v>3940</v>
      </c>
    </row>
    <row r="56" spans="1:16" ht="45" x14ac:dyDescent="0.25">
      <c r="A56" s="7" t="s">
        <v>1921</v>
      </c>
      <c r="B56" s="7" t="str">
        <f>"1451"</f>
        <v>1451</v>
      </c>
      <c r="C56" s="7">
        <v>2020</v>
      </c>
      <c r="D56" s="7" t="s">
        <v>1867</v>
      </c>
      <c r="E56" s="7" t="s">
        <v>1868</v>
      </c>
      <c r="F56" s="7" t="s">
        <v>3941</v>
      </c>
      <c r="G56" s="7" t="s">
        <v>1871</v>
      </c>
      <c r="H56" s="7">
        <v>1085274190</v>
      </c>
      <c r="I56" s="7">
        <v>7</v>
      </c>
      <c r="J56" s="7" t="s">
        <v>3598</v>
      </c>
      <c r="K56" s="8">
        <v>11024000</v>
      </c>
      <c r="L56" s="7" t="s">
        <v>3119</v>
      </c>
      <c r="M56" s="7" t="s">
        <v>3119</v>
      </c>
      <c r="N56" s="7" t="s">
        <v>3688</v>
      </c>
      <c r="O56" s="7"/>
      <c r="P56" s="13" t="s">
        <v>3942</v>
      </c>
    </row>
    <row r="57" spans="1:16" ht="45" x14ac:dyDescent="0.25">
      <c r="A57" s="7" t="s">
        <v>1921</v>
      </c>
      <c r="B57" s="7" t="str">
        <f>"1458"</f>
        <v>1458</v>
      </c>
      <c r="C57" s="7">
        <v>2020</v>
      </c>
      <c r="D57" s="7" t="s">
        <v>1867</v>
      </c>
      <c r="E57" s="7" t="s">
        <v>1875</v>
      </c>
      <c r="F57" s="7" t="s">
        <v>2163</v>
      </c>
      <c r="G57" s="7" t="s">
        <v>1871</v>
      </c>
      <c r="H57" s="7">
        <v>1075263834</v>
      </c>
      <c r="I57" s="7">
        <v>8</v>
      </c>
      <c r="J57" s="7" t="s">
        <v>2164</v>
      </c>
      <c r="K57" s="8">
        <v>13757952</v>
      </c>
      <c r="L57" s="7" t="s">
        <v>2067</v>
      </c>
      <c r="M57" s="7" t="s">
        <v>2067</v>
      </c>
      <c r="N57" s="7" t="s">
        <v>3778</v>
      </c>
      <c r="O57" s="7"/>
      <c r="P57" s="13" t="s">
        <v>3951</v>
      </c>
    </row>
    <row r="58" spans="1:16" ht="45" x14ac:dyDescent="0.25">
      <c r="A58" s="7" t="s">
        <v>1921</v>
      </c>
      <c r="B58" s="7" t="str">
        <f>"1475"</f>
        <v>1475</v>
      </c>
      <c r="C58" s="7">
        <v>2020</v>
      </c>
      <c r="D58" s="7" t="s">
        <v>1867</v>
      </c>
      <c r="E58" s="7" t="s">
        <v>1868</v>
      </c>
      <c r="F58" s="7" t="s">
        <v>3981</v>
      </c>
      <c r="G58" s="7" t="s">
        <v>1871</v>
      </c>
      <c r="H58" s="7">
        <v>1085254744</v>
      </c>
      <c r="I58" s="7">
        <v>1</v>
      </c>
      <c r="J58" s="7" t="s">
        <v>3982</v>
      </c>
      <c r="K58" s="8">
        <v>13757952</v>
      </c>
      <c r="L58" s="7" t="s">
        <v>3822</v>
      </c>
      <c r="M58" s="7" t="s">
        <v>3378</v>
      </c>
      <c r="N58" s="7" t="s">
        <v>3978</v>
      </c>
      <c r="O58" s="7"/>
      <c r="P58" s="13" t="s">
        <v>3983</v>
      </c>
    </row>
    <row r="59" spans="1:16" ht="45" x14ac:dyDescent="0.25">
      <c r="A59" s="7" t="s">
        <v>1921</v>
      </c>
      <c r="B59" s="7" t="str">
        <f>"1496"</f>
        <v>1496</v>
      </c>
      <c r="C59" s="7">
        <v>2020</v>
      </c>
      <c r="D59" s="7" t="s">
        <v>1867</v>
      </c>
      <c r="E59" s="7" t="s">
        <v>1875</v>
      </c>
      <c r="F59" s="7" t="s">
        <v>4016</v>
      </c>
      <c r="G59" s="7" t="s">
        <v>1871</v>
      </c>
      <c r="H59" s="7">
        <v>98393893</v>
      </c>
      <c r="I59" s="7">
        <v>2</v>
      </c>
      <c r="J59" s="7" t="s">
        <v>4017</v>
      </c>
      <c r="K59" s="8">
        <v>11200000</v>
      </c>
      <c r="L59" s="7" t="s">
        <v>3888</v>
      </c>
      <c r="M59" s="7" t="s">
        <v>4018</v>
      </c>
      <c r="N59" s="7" t="s">
        <v>4015</v>
      </c>
      <c r="O59" s="7"/>
      <c r="P59" s="13" t="s">
        <v>4019</v>
      </c>
    </row>
    <row r="60" spans="1:16" ht="45" x14ac:dyDescent="0.25">
      <c r="A60" s="7" t="s">
        <v>1921</v>
      </c>
      <c r="B60" s="7" t="str">
        <f>"1503"</f>
        <v>1503</v>
      </c>
      <c r="C60" s="7">
        <v>2020</v>
      </c>
      <c r="D60" s="7" t="s">
        <v>1867</v>
      </c>
      <c r="E60" s="7" t="s">
        <v>1868</v>
      </c>
      <c r="F60" s="7" t="s">
        <v>4032</v>
      </c>
      <c r="G60" s="7" t="s">
        <v>1871</v>
      </c>
      <c r="H60" s="7">
        <v>12749652</v>
      </c>
      <c r="I60" s="7">
        <v>6</v>
      </c>
      <c r="J60" s="7" t="s">
        <v>1924</v>
      </c>
      <c r="K60" s="8">
        <v>13757952</v>
      </c>
      <c r="L60" s="7" t="s">
        <v>3888</v>
      </c>
      <c r="M60" s="7" t="s">
        <v>3378</v>
      </c>
      <c r="N60" s="7" t="s">
        <v>4015</v>
      </c>
      <c r="O60" s="7"/>
      <c r="P60" s="13" t="s">
        <v>4033</v>
      </c>
    </row>
    <row r="61" spans="1:16" ht="45" x14ac:dyDescent="0.25">
      <c r="A61" s="7" t="s">
        <v>1921</v>
      </c>
      <c r="B61" s="7" t="str">
        <f>"1504"</f>
        <v>1504</v>
      </c>
      <c r="C61" s="7">
        <v>2020</v>
      </c>
      <c r="D61" s="7" t="s">
        <v>1867</v>
      </c>
      <c r="E61" s="7" t="s">
        <v>1868</v>
      </c>
      <c r="F61" s="7" t="s">
        <v>1923</v>
      </c>
      <c r="G61" s="7" t="s">
        <v>1871</v>
      </c>
      <c r="H61" s="7">
        <v>1121507905</v>
      </c>
      <c r="I61" s="7">
        <v>8</v>
      </c>
      <c r="J61" s="7" t="s">
        <v>4034</v>
      </c>
      <c r="K61" s="8">
        <v>13757952</v>
      </c>
      <c r="L61" s="7" t="s">
        <v>3888</v>
      </c>
      <c r="M61" s="7" t="s">
        <v>4018</v>
      </c>
      <c r="N61" s="7" t="s">
        <v>4015</v>
      </c>
      <c r="O61" s="7"/>
      <c r="P61" s="13" t="s">
        <v>4035</v>
      </c>
    </row>
    <row r="62" spans="1:16" ht="45" x14ac:dyDescent="0.25">
      <c r="A62" s="7" t="s">
        <v>1921</v>
      </c>
      <c r="B62" s="7" t="str">
        <f>"1505"</f>
        <v>1505</v>
      </c>
      <c r="C62" s="7">
        <v>2020</v>
      </c>
      <c r="D62" s="7" t="s">
        <v>1867</v>
      </c>
      <c r="E62" s="7" t="s">
        <v>1868</v>
      </c>
      <c r="F62" s="7" t="s">
        <v>4036</v>
      </c>
      <c r="G62" s="7" t="s">
        <v>1871</v>
      </c>
      <c r="H62" s="7">
        <v>1085328615</v>
      </c>
      <c r="I62" s="7">
        <v>9</v>
      </c>
      <c r="J62" s="7" t="s">
        <v>1922</v>
      </c>
      <c r="K62" s="8">
        <v>13757952</v>
      </c>
      <c r="L62" s="7" t="s">
        <v>3888</v>
      </c>
      <c r="M62" s="7" t="s">
        <v>3378</v>
      </c>
      <c r="N62" s="7" t="s">
        <v>4015</v>
      </c>
      <c r="O62" s="7"/>
      <c r="P62" s="13" t="s">
        <v>4037</v>
      </c>
    </row>
    <row r="63" spans="1:16" ht="45" x14ac:dyDescent="0.25">
      <c r="A63" s="7" t="s">
        <v>1921</v>
      </c>
      <c r="B63" s="7" t="str">
        <f>"1506"</f>
        <v>1506</v>
      </c>
      <c r="C63" s="7">
        <v>2020</v>
      </c>
      <c r="D63" s="7" t="s">
        <v>1867</v>
      </c>
      <c r="E63" s="7" t="s">
        <v>1868</v>
      </c>
      <c r="F63" s="7" t="s">
        <v>4038</v>
      </c>
      <c r="G63" s="7" t="s">
        <v>1871</v>
      </c>
      <c r="H63" s="7">
        <v>98398167</v>
      </c>
      <c r="I63" s="7">
        <v>0</v>
      </c>
      <c r="J63" s="7" t="s">
        <v>1926</v>
      </c>
      <c r="K63" s="8">
        <v>13757952</v>
      </c>
      <c r="L63" s="7" t="s">
        <v>3888</v>
      </c>
      <c r="M63" s="7" t="s">
        <v>4018</v>
      </c>
      <c r="N63" s="7" t="s">
        <v>4015</v>
      </c>
      <c r="O63" s="7"/>
      <c r="P63" s="13" t="s">
        <v>4039</v>
      </c>
    </row>
    <row r="64" spans="1:16" ht="45" x14ac:dyDescent="0.25">
      <c r="A64" s="7" t="s">
        <v>1921</v>
      </c>
      <c r="B64" s="7" t="str">
        <f>"1507"</f>
        <v>1507</v>
      </c>
      <c r="C64" s="7">
        <v>2020</v>
      </c>
      <c r="D64" s="7" t="s">
        <v>1867</v>
      </c>
      <c r="E64" s="7" t="s">
        <v>1868</v>
      </c>
      <c r="F64" s="7" t="s">
        <v>4040</v>
      </c>
      <c r="G64" s="7" t="s">
        <v>1871</v>
      </c>
      <c r="H64" s="7">
        <v>59815115</v>
      </c>
      <c r="I64" s="7">
        <v>1</v>
      </c>
      <c r="J64" s="7" t="s">
        <v>1925</v>
      </c>
      <c r="K64" s="8">
        <v>13757952</v>
      </c>
      <c r="L64" s="7" t="s">
        <v>3888</v>
      </c>
      <c r="M64" s="7" t="s">
        <v>4018</v>
      </c>
      <c r="N64" s="7" t="s">
        <v>4015</v>
      </c>
      <c r="O64" s="7"/>
      <c r="P64" s="13" t="s">
        <v>4041</v>
      </c>
    </row>
    <row r="65" spans="1:16" ht="45" x14ac:dyDescent="0.25">
      <c r="A65" s="7" t="s">
        <v>1921</v>
      </c>
      <c r="B65" s="7" t="str">
        <f>"1508"</f>
        <v>1508</v>
      </c>
      <c r="C65" s="7">
        <v>2020</v>
      </c>
      <c r="D65" s="7" t="s">
        <v>1867</v>
      </c>
      <c r="E65" s="7" t="s">
        <v>1868</v>
      </c>
      <c r="F65" s="7" t="s">
        <v>1923</v>
      </c>
      <c r="G65" s="7" t="s">
        <v>1871</v>
      </c>
      <c r="H65" s="7">
        <v>1085273408</v>
      </c>
      <c r="I65" s="7">
        <v>3</v>
      </c>
      <c r="J65" s="7" t="s">
        <v>4042</v>
      </c>
      <c r="K65" s="8">
        <v>13757952</v>
      </c>
      <c r="L65" s="7" t="s">
        <v>3888</v>
      </c>
      <c r="M65" s="7" t="s">
        <v>4018</v>
      </c>
      <c r="N65" s="7" t="s">
        <v>4015</v>
      </c>
      <c r="O65" s="7"/>
      <c r="P65" s="13" t="s">
        <v>4043</v>
      </c>
    </row>
    <row r="66" spans="1:16" x14ac:dyDescent="0.25">
      <c r="A66" s="7" t="s">
        <v>1921</v>
      </c>
      <c r="B66" s="7" t="str">
        <f>"1611"</f>
        <v>1611</v>
      </c>
      <c r="C66" s="7">
        <v>2020</v>
      </c>
      <c r="D66" s="7" t="s">
        <v>1867</v>
      </c>
      <c r="E66" s="7" t="s">
        <v>1868</v>
      </c>
      <c r="F66" s="7" t="s">
        <v>4223</v>
      </c>
      <c r="G66" s="7" t="s">
        <v>1871</v>
      </c>
      <c r="H66" s="7">
        <v>13071250</v>
      </c>
      <c r="I66" s="7">
        <v>6</v>
      </c>
      <c r="J66" s="7" t="s">
        <v>4224</v>
      </c>
      <c r="K66" s="8">
        <v>13757952</v>
      </c>
      <c r="L66" s="7" t="s">
        <v>3875</v>
      </c>
      <c r="M66" s="7" t="s">
        <v>1909</v>
      </c>
      <c r="N66" s="7" t="s">
        <v>4210</v>
      </c>
      <c r="O66" s="7"/>
      <c r="P66" s="13" t="s">
        <v>1993</v>
      </c>
    </row>
    <row r="67" spans="1:16" ht="45" x14ac:dyDescent="0.25">
      <c r="A67" s="7" t="s">
        <v>1921</v>
      </c>
      <c r="B67" s="7" t="str">
        <f>"1612"</f>
        <v>1612</v>
      </c>
      <c r="C67" s="7">
        <v>2020</v>
      </c>
      <c r="D67" s="7" t="s">
        <v>1867</v>
      </c>
      <c r="E67" s="7" t="s">
        <v>1868</v>
      </c>
      <c r="F67" s="7" t="s">
        <v>4225</v>
      </c>
      <c r="G67" s="7" t="s">
        <v>1871</v>
      </c>
      <c r="H67" s="7">
        <v>1085286321</v>
      </c>
      <c r="I67" s="7">
        <v>7</v>
      </c>
      <c r="J67" s="7" t="s">
        <v>2039</v>
      </c>
      <c r="K67" s="8">
        <v>13757952</v>
      </c>
      <c r="L67" s="7" t="s">
        <v>3875</v>
      </c>
      <c r="M67" s="7" t="s">
        <v>1909</v>
      </c>
      <c r="N67" s="7" t="s">
        <v>4210</v>
      </c>
      <c r="O67" s="7"/>
      <c r="P67" s="13" t="s">
        <v>4226</v>
      </c>
    </row>
    <row r="68" spans="1:16" x14ac:dyDescent="0.25">
      <c r="A68" s="7" t="s">
        <v>1921</v>
      </c>
      <c r="B68" s="7" t="str">
        <f>"1609"</f>
        <v>1609</v>
      </c>
      <c r="C68" s="7">
        <v>2020</v>
      </c>
      <c r="D68" s="7" t="s">
        <v>1867</v>
      </c>
      <c r="E68" s="7" t="s">
        <v>1868</v>
      </c>
      <c r="F68" s="7" t="s">
        <v>4219</v>
      </c>
      <c r="G68" s="7" t="s">
        <v>1871</v>
      </c>
      <c r="H68" s="7">
        <v>1085267882</v>
      </c>
      <c r="I68" s="7">
        <v>6</v>
      </c>
      <c r="J68" s="7" t="s">
        <v>4220</v>
      </c>
      <c r="K68" s="8">
        <v>13757952</v>
      </c>
      <c r="L68" s="7" t="s">
        <v>3875</v>
      </c>
      <c r="M68" s="7" t="s">
        <v>4147</v>
      </c>
      <c r="N68" s="7" t="s">
        <v>4221</v>
      </c>
      <c r="O68" s="7"/>
      <c r="P68" s="13" t="s">
        <v>1993</v>
      </c>
    </row>
    <row r="69" spans="1:16" x14ac:dyDescent="0.25">
      <c r="A69" s="7" t="s">
        <v>1921</v>
      </c>
      <c r="B69" s="7" t="str">
        <f>"1610"</f>
        <v>1610</v>
      </c>
      <c r="C69" s="7">
        <v>2020</v>
      </c>
      <c r="D69" s="7" t="s">
        <v>1867</v>
      </c>
      <c r="E69" s="7" t="s">
        <v>1868</v>
      </c>
      <c r="F69" s="7" t="s">
        <v>4222</v>
      </c>
      <c r="G69" s="7" t="s">
        <v>1871</v>
      </c>
      <c r="H69" s="7">
        <v>1085274191</v>
      </c>
      <c r="I69" s="7">
        <v>4</v>
      </c>
      <c r="J69" s="7" t="s">
        <v>2038</v>
      </c>
      <c r="K69" s="8">
        <v>13757952</v>
      </c>
      <c r="L69" s="7" t="s">
        <v>3875</v>
      </c>
      <c r="M69" s="7" t="s">
        <v>4147</v>
      </c>
      <c r="N69" s="7" t="s">
        <v>4221</v>
      </c>
      <c r="O69" s="7"/>
      <c r="P69" s="13" t="s">
        <v>1993</v>
      </c>
    </row>
    <row r="70" spans="1:16" ht="45" x14ac:dyDescent="0.25">
      <c r="A70" s="7" t="s">
        <v>1921</v>
      </c>
      <c r="B70" s="7" t="str">
        <f>"1356"</f>
        <v>1356</v>
      </c>
      <c r="C70" s="7">
        <v>2020</v>
      </c>
      <c r="D70" s="7" t="s">
        <v>1867</v>
      </c>
      <c r="E70" s="7" t="s">
        <v>1868</v>
      </c>
      <c r="F70" s="7" t="s">
        <v>3793</v>
      </c>
      <c r="G70" s="7" t="s">
        <v>1871</v>
      </c>
      <c r="H70" s="7">
        <v>36954173</v>
      </c>
      <c r="I70" s="7">
        <v>4</v>
      </c>
      <c r="J70" s="7" t="s">
        <v>3794</v>
      </c>
      <c r="K70" s="8">
        <v>25108262</v>
      </c>
      <c r="L70" s="7" t="s">
        <v>3765</v>
      </c>
      <c r="M70" s="7" t="s">
        <v>3467</v>
      </c>
      <c r="N70" s="7" t="s">
        <v>1974</v>
      </c>
      <c r="O70" s="7"/>
      <c r="P70" s="13" t="s">
        <v>3795</v>
      </c>
    </row>
    <row r="71" spans="1:16" ht="45" x14ac:dyDescent="0.25">
      <c r="A71" s="7" t="s">
        <v>1921</v>
      </c>
      <c r="B71" s="7" t="str">
        <f>"1395"</f>
        <v>1395</v>
      </c>
      <c r="C71" s="7">
        <v>2020</v>
      </c>
      <c r="D71" s="7" t="s">
        <v>1867</v>
      </c>
      <c r="E71" s="7" t="s">
        <v>1868</v>
      </c>
      <c r="F71" s="7" t="s">
        <v>3854</v>
      </c>
      <c r="G71" s="7" t="s">
        <v>1871</v>
      </c>
      <c r="H71" s="7">
        <v>59310804</v>
      </c>
      <c r="I71" s="7">
        <v>1</v>
      </c>
      <c r="J71" s="7" t="s">
        <v>3855</v>
      </c>
      <c r="K71" s="8">
        <v>21324825</v>
      </c>
      <c r="L71" s="7" t="s">
        <v>3784</v>
      </c>
      <c r="M71" s="7" t="s">
        <v>3850</v>
      </c>
      <c r="N71" s="7" t="s">
        <v>1974</v>
      </c>
      <c r="O71" s="7"/>
      <c r="P71" s="13" t="s">
        <v>3856</v>
      </c>
    </row>
    <row r="72" spans="1:16" ht="45" x14ac:dyDescent="0.25">
      <c r="A72" s="7" t="s">
        <v>1921</v>
      </c>
      <c r="B72" s="7" t="str">
        <f>"1396"</f>
        <v>1396</v>
      </c>
      <c r="C72" s="7">
        <v>2020</v>
      </c>
      <c r="D72" s="7" t="s">
        <v>1867</v>
      </c>
      <c r="E72" s="7" t="s">
        <v>1868</v>
      </c>
      <c r="F72" s="7" t="s">
        <v>3857</v>
      </c>
      <c r="G72" s="7" t="s">
        <v>1871</v>
      </c>
      <c r="H72" s="7">
        <v>59821884</v>
      </c>
      <c r="I72" s="7">
        <v>1</v>
      </c>
      <c r="J72" s="7" t="s">
        <v>3858</v>
      </c>
      <c r="K72" s="8">
        <v>21324825</v>
      </c>
      <c r="L72" s="7" t="s">
        <v>3784</v>
      </c>
      <c r="M72" s="7" t="s">
        <v>3850</v>
      </c>
      <c r="N72" s="7" t="s">
        <v>1974</v>
      </c>
      <c r="O72" s="7"/>
      <c r="P72" s="13" t="s">
        <v>3859</v>
      </c>
    </row>
    <row r="73" spans="1:16" ht="45" x14ac:dyDescent="0.25">
      <c r="A73" s="7" t="s">
        <v>1921</v>
      </c>
      <c r="B73" s="7" t="str">
        <f>"1397"</f>
        <v>1397</v>
      </c>
      <c r="C73" s="7">
        <v>2020</v>
      </c>
      <c r="D73" s="7" t="s">
        <v>1867</v>
      </c>
      <c r="E73" s="7" t="s">
        <v>1868</v>
      </c>
      <c r="F73" s="7" t="s">
        <v>3860</v>
      </c>
      <c r="G73" s="7" t="s">
        <v>1871</v>
      </c>
      <c r="H73" s="7">
        <v>12747469</v>
      </c>
      <c r="I73" s="7">
        <v>0</v>
      </c>
      <c r="J73" s="7" t="s">
        <v>3861</v>
      </c>
      <c r="K73" s="8">
        <v>21324825</v>
      </c>
      <c r="L73" s="7" t="s">
        <v>3784</v>
      </c>
      <c r="M73" s="7" t="s">
        <v>2064</v>
      </c>
      <c r="N73" s="7" t="s">
        <v>1974</v>
      </c>
      <c r="O73" s="7"/>
      <c r="P73" s="13" t="s">
        <v>3862</v>
      </c>
    </row>
    <row r="74" spans="1:16" ht="45" x14ac:dyDescent="0.25">
      <c r="A74" s="7" t="s">
        <v>1921</v>
      </c>
      <c r="B74" s="7" t="str">
        <f>"1694"</f>
        <v>1694</v>
      </c>
      <c r="C74" s="7">
        <v>2020</v>
      </c>
      <c r="D74" s="7" t="s">
        <v>1867</v>
      </c>
      <c r="E74" s="7" t="s">
        <v>1875</v>
      </c>
      <c r="F74" s="7" t="s">
        <v>4283</v>
      </c>
      <c r="G74" s="7" t="s">
        <v>1871</v>
      </c>
      <c r="H74" s="7">
        <v>1085266836</v>
      </c>
      <c r="I74" s="7">
        <v>3</v>
      </c>
      <c r="J74" s="7" t="s">
        <v>2034</v>
      </c>
      <c r="K74" s="8">
        <v>10600000</v>
      </c>
      <c r="L74" s="7" t="s">
        <v>3476</v>
      </c>
      <c r="M74" s="7" t="s">
        <v>3200</v>
      </c>
      <c r="N74" s="7" t="s">
        <v>1974</v>
      </c>
      <c r="O74" s="7"/>
      <c r="P74" s="13" t="s">
        <v>4284</v>
      </c>
    </row>
    <row r="75" spans="1:16" ht="30" x14ac:dyDescent="0.25">
      <c r="A75" s="7" t="s">
        <v>2031</v>
      </c>
      <c r="B75" s="7" t="str">
        <f>"0215"</f>
        <v>0215</v>
      </c>
      <c r="C75" s="7">
        <v>2020</v>
      </c>
      <c r="D75" s="7" t="s">
        <v>1867</v>
      </c>
      <c r="E75" s="7" t="s">
        <v>1868</v>
      </c>
      <c r="F75" s="7" t="s">
        <v>2108</v>
      </c>
      <c r="G75" s="7" t="s">
        <v>1871</v>
      </c>
      <c r="H75" s="7">
        <v>87060843</v>
      </c>
      <c r="I75" s="7">
        <v>5</v>
      </c>
      <c r="J75" s="7" t="s">
        <v>2109</v>
      </c>
      <c r="K75" s="8">
        <v>27515904</v>
      </c>
      <c r="L75" s="7" t="s">
        <v>1992</v>
      </c>
      <c r="M75" s="7" t="s">
        <v>2035</v>
      </c>
      <c r="N75" s="7" t="s">
        <v>2110</v>
      </c>
      <c r="O75" s="7"/>
      <c r="P75" s="13" t="s">
        <v>2111</v>
      </c>
    </row>
    <row r="76" spans="1:16" ht="30" x14ac:dyDescent="0.25">
      <c r="A76" s="7" t="s">
        <v>2031</v>
      </c>
      <c r="B76" s="7" t="str">
        <f>"0381"</f>
        <v>0381</v>
      </c>
      <c r="C76" s="7">
        <v>2020</v>
      </c>
      <c r="D76" s="7" t="s">
        <v>1867</v>
      </c>
      <c r="E76" s="7" t="s">
        <v>1868</v>
      </c>
      <c r="F76" s="7" t="s">
        <v>2460</v>
      </c>
      <c r="G76" s="7" t="s">
        <v>1871</v>
      </c>
      <c r="H76" s="7">
        <v>13010006</v>
      </c>
      <c r="I76" s="7">
        <v>4</v>
      </c>
      <c r="J76" s="7" t="s">
        <v>2461</v>
      </c>
      <c r="K76" s="8">
        <v>27515904</v>
      </c>
      <c r="L76" s="7" t="s">
        <v>1898</v>
      </c>
      <c r="M76" s="7" t="s">
        <v>2302</v>
      </c>
      <c r="N76" s="7" t="s">
        <v>2197</v>
      </c>
      <c r="O76" s="7"/>
      <c r="P76" s="13" t="s">
        <v>2462</v>
      </c>
    </row>
    <row r="77" spans="1:16" ht="30" x14ac:dyDescent="0.25">
      <c r="A77" s="7" t="s">
        <v>2031</v>
      </c>
      <c r="B77" s="7" t="str">
        <f>"0386"</f>
        <v>0386</v>
      </c>
      <c r="C77" s="7">
        <v>2020</v>
      </c>
      <c r="D77" s="7" t="s">
        <v>1867</v>
      </c>
      <c r="E77" s="7" t="s">
        <v>1868</v>
      </c>
      <c r="F77" s="7" t="s">
        <v>2466</v>
      </c>
      <c r="G77" s="7" t="s">
        <v>1871</v>
      </c>
      <c r="H77" s="7">
        <v>12982116</v>
      </c>
      <c r="I77" s="7">
        <v>2</v>
      </c>
      <c r="J77" s="7" t="s">
        <v>2467</v>
      </c>
      <c r="K77" s="8">
        <v>27515904</v>
      </c>
      <c r="L77" s="7" t="s">
        <v>1898</v>
      </c>
      <c r="M77" s="7" t="s">
        <v>2417</v>
      </c>
      <c r="N77" s="7" t="s">
        <v>2197</v>
      </c>
      <c r="O77" s="7"/>
      <c r="P77" s="13" t="s">
        <v>2468</v>
      </c>
    </row>
    <row r="78" spans="1:16" ht="30" x14ac:dyDescent="0.25">
      <c r="A78" s="7" t="s">
        <v>2031</v>
      </c>
      <c r="B78" s="7" t="str">
        <f>"0388"</f>
        <v>0388</v>
      </c>
      <c r="C78" s="7">
        <v>2020</v>
      </c>
      <c r="D78" s="7" t="s">
        <v>1867</v>
      </c>
      <c r="E78" s="7" t="s">
        <v>1868</v>
      </c>
      <c r="F78" s="7" t="s">
        <v>2469</v>
      </c>
      <c r="G78" s="7" t="s">
        <v>1871</v>
      </c>
      <c r="H78" s="7">
        <v>1085293195</v>
      </c>
      <c r="I78" s="7">
        <v>4</v>
      </c>
      <c r="J78" s="7" t="s">
        <v>2470</v>
      </c>
      <c r="K78" s="8">
        <v>27515904</v>
      </c>
      <c r="L78" s="7" t="s">
        <v>1898</v>
      </c>
      <c r="M78" s="7" t="s">
        <v>2284</v>
      </c>
      <c r="N78" s="7" t="s">
        <v>2197</v>
      </c>
      <c r="O78" s="7"/>
      <c r="P78" s="13" t="s">
        <v>2471</v>
      </c>
    </row>
    <row r="79" spans="1:16" ht="30" x14ac:dyDescent="0.25">
      <c r="A79" s="7" t="s">
        <v>2031</v>
      </c>
      <c r="B79" s="7" t="str">
        <f>"0389"</f>
        <v>0389</v>
      </c>
      <c r="C79" s="7">
        <v>2020</v>
      </c>
      <c r="D79" s="7" t="s">
        <v>1867</v>
      </c>
      <c r="E79" s="7" t="s">
        <v>1868</v>
      </c>
      <c r="F79" s="7" t="s">
        <v>2472</v>
      </c>
      <c r="G79" s="7" t="s">
        <v>1871</v>
      </c>
      <c r="H79" s="7">
        <v>27097937</v>
      </c>
      <c r="I79" s="7">
        <v>0</v>
      </c>
      <c r="J79" s="7" t="s">
        <v>2473</v>
      </c>
      <c r="K79" s="8">
        <v>27515904</v>
      </c>
      <c r="L79" s="7" t="s">
        <v>1898</v>
      </c>
      <c r="M79" s="7" t="s">
        <v>2306</v>
      </c>
      <c r="N79" s="7" t="s">
        <v>2197</v>
      </c>
      <c r="O79" s="7"/>
      <c r="P79" s="13" t="s">
        <v>2474</v>
      </c>
    </row>
    <row r="80" spans="1:16" ht="30" x14ac:dyDescent="0.25">
      <c r="A80" s="7" t="s">
        <v>2031</v>
      </c>
      <c r="B80" s="7" t="str">
        <f>"0390"</f>
        <v>0390</v>
      </c>
      <c r="C80" s="7">
        <v>2020</v>
      </c>
      <c r="D80" s="7" t="s">
        <v>1867</v>
      </c>
      <c r="E80" s="7" t="s">
        <v>1868</v>
      </c>
      <c r="F80" s="7" t="s">
        <v>2475</v>
      </c>
      <c r="G80" s="7" t="s">
        <v>1871</v>
      </c>
      <c r="H80" s="7">
        <v>1085305206</v>
      </c>
      <c r="I80" s="7">
        <v>0</v>
      </c>
      <c r="J80" s="7" t="s">
        <v>2476</v>
      </c>
      <c r="K80" s="8">
        <v>27515904</v>
      </c>
      <c r="L80" s="7" t="s">
        <v>1898</v>
      </c>
      <c r="M80" s="7" t="s">
        <v>2306</v>
      </c>
      <c r="N80" s="7" t="s">
        <v>2197</v>
      </c>
      <c r="O80" s="7"/>
      <c r="P80" s="13" t="s">
        <v>2477</v>
      </c>
    </row>
    <row r="81" spans="1:16" ht="30" x14ac:dyDescent="0.25">
      <c r="A81" s="7" t="s">
        <v>2031</v>
      </c>
      <c r="B81" s="7" t="str">
        <f>"0392"</f>
        <v>0392</v>
      </c>
      <c r="C81" s="7">
        <v>2020</v>
      </c>
      <c r="D81" s="7" t="s">
        <v>1867</v>
      </c>
      <c r="E81" s="7" t="s">
        <v>1868</v>
      </c>
      <c r="F81" s="7" t="s">
        <v>2478</v>
      </c>
      <c r="G81" s="7" t="s">
        <v>1871</v>
      </c>
      <c r="H81" s="7">
        <v>30719071</v>
      </c>
      <c r="I81" s="7">
        <v>1</v>
      </c>
      <c r="J81" s="7" t="s">
        <v>2479</v>
      </c>
      <c r="K81" s="8">
        <v>27515904</v>
      </c>
      <c r="L81" s="7" t="s">
        <v>1898</v>
      </c>
      <c r="M81" s="7" t="s">
        <v>2113</v>
      </c>
      <c r="N81" s="7" t="s">
        <v>2197</v>
      </c>
      <c r="O81" s="7"/>
      <c r="P81" s="13" t="s">
        <v>2480</v>
      </c>
    </row>
    <row r="82" spans="1:16" ht="30" x14ac:dyDescent="0.25">
      <c r="A82" s="7" t="s">
        <v>2031</v>
      </c>
      <c r="B82" s="7" t="str">
        <f>"0393"</f>
        <v>0393</v>
      </c>
      <c r="C82" s="7">
        <v>2020</v>
      </c>
      <c r="D82" s="7" t="s">
        <v>1867</v>
      </c>
      <c r="E82" s="7" t="s">
        <v>1989</v>
      </c>
      <c r="F82" s="7" t="s">
        <v>2481</v>
      </c>
      <c r="G82" s="7" t="s">
        <v>1871</v>
      </c>
      <c r="H82" s="7">
        <v>1085327280</v>
      </c>
      <c r="I82" s="7">
        <v>0</v>
      </c>
      <c r="J82" s="7" t="s">
        <v>2482</v>
      </c>
      <c r="K82" s="8">
        <v>27515904</v>
      </c>
      <c r="L82" s="7" t="s">
        <v>1898</v>
      </c>
      <c r="M82" s="7" t="s">
        <v>2239</v>
      </c>
      <c r="N82" s="7" t="s">
        <v>2197</v>
      </c>
      <c r="O82" s="7"/>
      <c r="P82" s="13" t="s">
        <v>2483</v>
      </c>
    </row>
    <row r="83" spans="1:16" ht="30" x14ac:dyDescent="0.25">
      <c r="A83" s="7" t="s">
        <v>2031</v>
      </c>
      <c r="B83" s="7" t="str">
        <f>"0395"</f>
        <v>0395</v>
      </c>
      <c r="C83" s="7">
        <v>2020</v>
      </c>
      <c r="D83" s="7" t="s">
        <v>1867</v>
      </c>
      <c r="E83" s="7" t="s">
        <v>1868</v>
      </c>
      <c r="F83" s="7" t="s">
        <v>2484</v>
      </c>
      <c r="G83" s="7" t="s">
        <v>1871</v>
      </c>
      <c r="H83" s="7">
        <v>12964753</v>
      </c>
      <c r="I83" s="7">
        <v>8</v>
      </c>
      <c r="J83" s="7" t="s">
        <v>2485</v>
      </c>
      <c r="K83" s="8">
        <v>27515904</v>
      </c>
      <c r="L83" s="7" t="s">
        <v>1898</v>
      </c>
      <c r="M83" s="7" t="s">
        <v>2302</v>
      </c>
      <c r="N83" s="7" t="s">
        <v>2197</v>
      </c>
      <c r="O83" s="7"/>
      <c r="P83" s="13" t="s">
        <v>2486</v>
      </c>
    </row>
    <row r="84" spans="1:16" ht="30" x14ac:dyDescent="0.25">
      <c r="A84" s="7" t="s">
        <v>2031</v>
      </c>
      <c r="B84" s="7" t="str">
        <f>"0397"</f>
        <v>0397</v>
      </c>
      <c r="C84" s="7">
        <v>2020</v>
      </c>
      <c r="D84" s="7" t="s">
        <v>1867</v>
      </c>
      <c r="E84" s="7" t="s">
        <v>1875</v>
      </c>
      <c r="F84" s="7" t="s">
        <v>2490</v>
      </c>
      <c r="G84" s="7" t="s">
        <v>1871</v>
      </c>
      <c r="H84" s="7">
        <v>12974078</v>
      </c>
      <c r="I84" s="7">
        <v>7</v>
      </c>
      <c r="J84" s="7" t="s">
        <v>2491</v>
      </c>
      <c r="K84" s="8">
        <v>15200000</v>
      </c>
      <c r="L84" s="7" t="s">
        <v>1898</v>
      </c>
      <c r="M84" s="7" t="s">
        <v>2318</v>
      </c>
      <c r="N84" s="7" t="s">
        <v>2197</v>
      </c>
      <c r="O84" s="7"/>
      <c r="P84" s="13" t="s">
        <v>2492</v>
      </c>
    </row>
    <row r="85" spans="1:16" ht="30" x14ac:dyDescent="0.25">
      <c r="A85" s="7" t="s">
        <v>2031</v>
      </c>
      <c r="B85" s="7" t="str">
        <f>"0399"</f>
        <v>0399</v>
      </c>
      <c r="C85" s="7">
        <v>2020</v>
      </c>
      <c r="D85" s="7" t="s">
        <v>1867</v>
      </c>
      <c r="E85" s="7" t="s">
        <v>1875</v>
      </c>
      <c r="F85" s="7" t="s">
        <v>2493</v>
      </c>
      <c r="G85" s="7" t="s">
        <v>1871</v>
      </c>
      <c r="H85" s="7">
        <v>59837643</v>
      </c>
      <c r="I85" s="7">
        <v>3</v>
      </c>
      <c r="J85" s="7" t="s">
        <v>2494</v>
      </c>
      <c r="K85" s="8">
        <v>15200000</v>
      </c>
      <c r="L85" s="7" t="s">
        <v>1898</v>
      </c>
      <c r="M85" s="7" t="s">
        <v>2239</v>
      </c>
      <c r="N85" s="7" t="s">
        <v>2197</v>
      </c>
      <c r="O85" s="7"/>
      <c r="P85" s="13" t="s">
        <v>2495</v>
      </c>
    </row>
    <row r="86" spans="1:16" ht="30" x14ac:dyDescent="0.25">
      <c r="A86" s="7" t="s">
        <v>2031</v>
      </c>
      <c r="B86" s="7" t="str">
        <f>"0400"</f>
        <v>0400</v>
      </c>
      <c r="C86" s="7">
        <v>2020</v>
      </c>
      <c r="D86" s="7" t="s">
        <v>1867</v>
      </c>
      <c r="E86" s="7" t="s">
        <v>1875</v>
      </c>
      <c r="F86" s="7" t="s">
        <v>2496</v>
      </c>
      <c r="G86" s="7" t="s">
        <v>1871</v>
      </c>
      <c r="H86" s="7">
        <v>1085273901</v>
      </c>
      <c r="I86" s="7">
        <v>2</v>
      </c>
      <c r="J86" s="7" t="s">
        <v>2497</v>
      </c>
      <c r="K86" s="8">
        <v>24000000</v>
      </c>
      <c r="L86" s="7" t="s">
        <v>1898</v>
      </c>
      <c r="M86" s="7" t="s">
        <v>2171</v>
      </c>
      <c r="N86" s="7" t="s">
        <v>2197</v>
      </c>
      <c r="O86" s="7"/>
      <c r="P86" s="13" t="s">
        <v>2498</v>
      </c>
    </row>
    <row r="87" spans="1:16" ht="30" x14ac:dyDescent="0.25">
      <c r="A87" s="7" t="s">
        <v>2031</v>
      </c>
      <c r="B87" s="7" t="str">
        <f>"0383"</f>
        <v>0383</v>
      </c>
      <c r="C87" s="7">
        <v>2020</v>
      </c>
      <c r="D87" s="7" t="s">
        <v>1867</v>
      </c>
      <c r="E87" s="7" t="s">
        <v>1868</v>
      </c>
      <c r="F87" s="7" t="s">
        <v>2463</v>
      </c>
      <c r="G87" s="7" t="s">
        <v>1871</v>
      </c>
      <c r="H87" s="7">
        <v>12980725</v>
      </c>
      <c r="I87" s="7">
        <v>9</v>
      </c>
      <c r="J87" s="7" t="s">
        <v>2464</v>
      </c>
      <c r="K87" s="8">
        <v>27515904</v>
      </c>
      <c r="L87" s="7" t="s">
        <v>1898</v>
      </c>
      <c r="M87" s="7" t="s">
        <v>2107</v>
      </c>
      <c r="N87" s="7" t="s">
        <v>2205</v>
      </c>
      <c r="O87" s="7"/>
      <c r="P87" s="13" t="s">
        <v>2465</v>
      </c>
    </row>
    <row r="88" spans="1:16" ht="30" x14ac:dyDescent="0.25">
      <c r="A88" s="7" t="s">
        <v>2031</v>
      </c>
      <c r="B88" s="7" t="str">
        <f>"0402"</f>
        <v>0402</v>
      </c>
      <c r="C88" s="7">
        <v>2020</v>
      </c>
      <c r="D88" s="7" t="s">
        <v>1867</v>
      </c>
      <c r="E88" s="7" t="s">
        <v>1875</v>
      </c>
      <c r="F88" s="7" t="s">
        <v>2499</v>
      </c>
      <c r="G88" s="7" t="s">
        <v>1871</v>
      </c>
      <c r="H88" s="7">
        <v>1085317818</v>
      </c>
      <c r="I88" s="7">
        <v>1</v>
      </c>
      <c r="J88" s="7" t="s">
        <v>2500</v>
      </c>
      <c r="K88" s="8">
        <v>15200000</v>
      </c>
      <c r="L88" s="7" t="s">
        <v>1898</v>
      </c>
      <c r="M88" s="7" t="s">
        <v>2302</v>
      </c>
      <c r="N88" s="7" t="s">
        <v>2205</v>
      </c>
      <c r="O88" s="7"/>
      <c r="P88" s="13" t="s">
        <v>2501</v>
      </c>
    </row>
    <row r="89" spans="1:16" ht="30" x14ac:dyDescent="0.25">
      <c r="A89" s="7" t="s">
        <v>2031</v>
      </c>
      <c r="B89" s="7" t="str">
        <f>"1137"</f>
        <v>1137</v>
      </c>
      <c r="C89" s="7">
        <v>2020</v>
      </c>
      <c r="D89" s="7" t="s">
        <v>1867</v>
      </c>
      <c r="E89" s="7" t="s">
        <v>1868</v>
      </c>
      <c r="F89" s="7" t="s">
        <v>3630</v>
      </c>
      <c r="G89" s="7" t="s">
        <v>1871</v>
      </c>
      <c r="H89" s="7">
        <v>30743750</v>
      </c>
      <c r="I89" s="7">
        <v>3</v>
      </c>
      <c r="J89" s="7" t="s">
        <v>3631</v>
      </c>
      <c r="K89" s="8">
        <v>18900000</v>
      </c>
      <c r="L89" s="7" t="s">
        <v>2284</v>
      </c>
      <c r="M89" s="7" t="s">
        <v>3388</v>
      </c>
      <c r="N89" s="7" t="s">
        <v>2696</v>
      </c>
      <c r="O89" s="7"/>
      <c r="P89" s="13" t="s">
        <v>3632</v>
      </c>
    </row>
    <row r="90" spans="1:16" ht="30" x14ac:dyDescent="0.25">
      <c r="A90" s="7" t="s">
        <v>2031</v>
      </c>
      <c r="B90" s="7" t="str">
        <f>"0907"</f>
        <v>0907</v>
      </c>
      <c r="C90" s="7">
        <v>2020</v>
      </c>
      <c r="D90" s="7" t="s">
        <v>1867</v>
      </c>
      <c r="E90" s="7" t="s">
        <v>1875</v>
      </c>
      <c r="F90" s="7" t="s">
        <v>3303</v>
      </c>
      <c r="G90" s="7" t="s">
        <v>1871</v>
      </c>
      <c r="H90" s="7">
        <v>1070983827</v>
      </c>
      <c r="I90" s="7">
        <v>7</v>
      </c>
      <c r="J90" s="7" t="s">
        <v>3304</v>
      </c>
      <c r="K90" s="8">
        <v>8000000</v>
      </c>
      <c r="L90" s="7" t="s">
        <v>2016</v>
      </c>
      <c r="M90" s="7" t="s">
        <v>3305</v>
      </c>
      <c r="N90" s="7" t="s">
        <v>3279</v>
      </c>
      <c r="O90" s="7"/>
      <c r="P90" s="13" t="s">
        <v>3306</v>
      </c>
    </row>
    <row r="91" spans="1:16" ht="30" x14ac:dyDescent="0.25">
      <c r="A91" s="7" t="s">
        <v>2031</v>
      </c>
      <c r="B91" s="7" t="str">
        <f>"1105"</f>
        <v>1105</v>
      </c>
      <c r="C91" s="7">
        <v>2020</v>
      </c>
      <c r="D91" s="7" t="s">
        <v>1867</v>
      </c>
      <c r="E91" s="7" t="s">
        <v>1868</v>
      </c>
      <c r="F91" s="7" t="s">
        <v>3574</v>
      </c>
      <c r="G91" s="7" t="s">
        <v>1871</v>
      </c>
      <c r="H91" s="7">
        <v>1004131706</v>
      </c>
      <c r="I91" s="7">
        <v>9</v>
      </c>
      <c r="J91" s="7" t="s">
        <v>3575</v>
      </c>
      <c r="K91" s="8">
        <v>27515904</v>
      </c>
      <c r="L91" s="7" t="s">
        <v>2235</v>
      </c>
      <c r="M91" s="7" t="s">
        <v>3305</v>
      </c>
      <c r="N91" s="7" t="s">
        <v>3576</v>
      </c>
      <c r="O91" s="7"/>
      <c r="P91" s="13" t="s">
        <v>3577</v>
      </c>
    </row>
    <row r="92" spans="1:16" ht="30" x14ac:dyDescent="0.25">
      <c r="A92" s="7" t="s">
        <v>2031</v>
      </c>
      <c r="B92" s="7" t="str">
        <f>"1129"</f>
        <v>1129</v>
      </c>
      <c r="C92" s="7">
        <v>2020</v>
      </c>
      <c r="D92" s="7" t="s">
        <v>1867</v>
      </c>
      <c r="E92" s="7" t="s">
        <v>1868</v>
      </c>
      <c r="F92" s="7" t="s">
        <v>3620</v>
      </c>
      <c r="G92" s="7" t="s">
        <v>1871</v>
      </c>
      <c r="H92" s="7">
        <v>30730817</v>
      </c>
      <c r="I92" s="7">
        <v>1</v>
      </c>
      <c r="J92" s="7" t="s">
        <v>3621</v>
      </c>
      <c r="K92" s="8">
        <v>27515904</v>
      </c>
      <c r="L92" s="7" t="s">
        <v>2284</v>
      </c>
      <c r="M92" s="7" t="s">
        <v>3305</v>
      </c>
      <c r="N92" s="7" t="s">
        <v>3595</v>
      </c>
      <c r="O92" s="7"/>
      <c r="P92" s="13" t="s">
        <v>3622</v>
      </c>
    </row>
    <row r="93" spans="1:16" ht="30" x14ac:dyDescent="0.25">
      <c r="A93" s="7" t="s">
        <v>2031</v>
      </c>
      <c r="B93" s="7" t="str">
        <f>"1131"</f>
        <v>1131</v>
      </c>
      <c r="C93" s="7">
        <v>2020</v>
      </c>
      <c r="D93" s="7" t="s">
        <v>1867</v>
      </c>
      <c r="E93" s="7" t="s">
        <v>1868</v>
      </c>
      <c r="F93" s="7" t="s">
        <v>3623</v>
      </c>
      <c r="G93" s="7" t="s">
        <v>1871</v>
      </c>
      <c r="H93" s="7">
        <v>1085272389</v>
      </c>
      <c r="I93" s="7">
        <v>6</v>
      </c>
      <c r="J93" s="7" t="s">
        <v>3624</v>
      </c>
      <c r="K93" s="8">
        <v>27515904</v>
      </c>
      <c r="L93" s="7" t="s">
        <v>2284</v>
      </c>
      <c r="M93" s="7" t="s">
        <v>3305</v>
      </c>
      <c r="N93" s="7" t="s">
        <v>3595</v>
      </c>
      <c r="O93" s="7"/>
      <c r="P93" s="13" t="s">
        <v>3625</v>
      </c>
    </row>
    <row r="94" spans="1:16" ht="30" x14ac:dyDescent="0.25">
      <c r="A94" s="7" t="s">
        <v>2031</v>
      </c>
      <c r="B94" s="7" t="str">
        <f>"1140"</f>
        <v>1140</v>
      </c>
      <c r="C94" s="7">
        <v>2020</v>
      </c>
      <c r="D94" s="7" t="s">
        <v>1867</v>
      </c>
      <c r="E94" s="7" t="s">
        <v>1868</v>
      </c>
      <c r="F94" s="7" t="s">
        <v>3639</v>
      </c>
      <c r="G94" s="7" t="s">
        <v>1871</v>
      </c>
      <c r="H94" s="7">
        <v>1087047997</v>
      </c>
      <c r="I94" s="7">
        <v>8</v>
      </c>
      <c r="J94" s="7" t="s">
        <v>3640</v>
      </c>
      <c r="K94" s="8">
        <v>27515904</v>
      </c>
      <c r="L94" s="7" t="s">
        <v>2284</v>
      </c>
      <c r="M94" s="7" t="s">
        <v>3379</v>
      </c>
      <c r="N94" s="7" t="s">
        <v>3607</v>
      </c>
      <c r="O94" s="7"/>
      <c r="P94" s="13" t="s">
        <v>3641</v>
      </c>
    </row>
    <row r="95" spans="1:16" ht="30" x14ac:dyDescent="0.25">
      <c r="A95" s="7" t="s">
        <v>2031</v>
      </c>
      <c r="B95" s="7" t="str">
        <f>"1132"</f>
        <v>1132</v>
      </c>
      <c r="C95" s="7">
        <v>2020</v>
      </c>
      <c r="D95" s="7" t="s">
        <v>1867</v>
      </c>
      <c r="E95" s="7" t="s">
        <v>1868</v>
      </c>
      <c r="F95" s="7" t="s">
        <v>3626</v>
      </c>
      <c r="G95" s="7" t="s">
        <v>1871</v>
      </c>
      <c r="H95" s="7">
        <v>1085307418</v>
      </c>
      <c r="I95" s="7">
        <v>4</v>
      </c>
      <c r="J95" s="7" t="s">
        <v>3627</v>
      </c>
      <c r="K95" s="8">
        <v>27515904</v>
      </c>
      <c r="L95" s="7" t="s">
        <v>2417</v>
      </c>
      <c r="M95" s="7" t="s">
        <v>2431</v>
      </c>
      <c r="N95" s="7" t="s">
        <v>2994</v>
      </c>
      <c r="O95" s="7"/>
      <c r="P95" s="13" t="s">
        <v>3628</v>
      </c>
    </row>
    <row r="96" spans="1:16" x14ac:dyDescent="0.25">
      <c r="A96" s="7" t="s">
        <v>2031</v>
      </c>
      <c r="B96" s="7" t="str">
        <f>"1243"</f>
        <v>1243</v>
      </c>
      <c r="C96" s="7">
        <v>2020</v>
      </c>
      <c r="D96" s="7" t="s">
        <v>1867</v>
      </c>
      <c r="E96" s="7" t="s">
        <v>1868</v>
      </c>
      <c r="F96" s="7" t="s">
        <v>3721</v>
      </c>
      <c r="G96" s="7" t="s">
        <v>1871</v>
      </c>
      <c r="H96" s="7">
        <v>1085337959</v>
      </c>
      <c r="I96" s="7">
        <v>5</v>
      </c>
      <c r="J96" s="7" t="s">
        <v>3722</v>
      </c>
      <c r="K96" s="8">
        <v>27515904</v>
      </c>
      <c r="L96" s="7" t="s">
        <v>2113</v>
      </c>
      <c r="M96" s="7" t="s">
        <v>3379</v>
      </c>
      <c r="N96" s="7" t="s">
        <v>3723</v>
      </c>
      <c r="O96" s="7"/>
      <c r="P96" s="13" t="s">
        <v>1993</v>
      </c>
    </row>
    <row r="97" spans="1:16" x14ac:dyDescent="0.25">
      <c r="A97" s="7" t="s">
        <v>2031</v>
      </c>
      <c r="B97" s="7" t="str">
        <f>"1763"</f>
        <v>1763</v>
      </c>
      <c r="C97" s="7">
        <v>2020</v>
      </c>
      <c r="D97" s="7" t="s">
        <v>1867</v>
      </c>
      <c r="E97" s="7" t="s">
        <v>1868</v>
      </c>
      <c r="F97" s="7" t="s">
        <v>4294</v>
      </c>
      <c r="G97" s="7" t="s">
        <v>1871</v>
      </c>
      <c r="H97" s="7">
        <v>1085325176</v>
      </c>
      <c r="I97" s="7">
        <v>0</v>
      </c>
      <c r="J97" s="7" t="s">
        <v>2032</v>
      </c>
      <c r="K97" s="8">
        <v>12267507</v>
      </c>
      <c r="L97" s="7" t="s">
        <v>2070</v>
      </c>
      <c r="M97" s="7" t="s">
        <v>3030</v>
      </c>
      <c r="N97" s="7" t="s">
        <v>1974</v>
      </c>
      <c r="O97" s="7"/>
      <c r="P97" s="13" t="s">
        <v>1993</v>
      </c>
    </row>
    <row r="98" spans="1:16" ht="30" x14ac:dyDescent="0.25">
      <c r="A98" s="7" t="s">
        <v>1927</v>
      </c>
      <c r="B98" s="7" t="str">
        <f>"0222"</f>
        <v>0222</v>
      </c>
      <c r="C98" s="7">
        <v>2020</v>
      </c>
      <c r="D98" s="7" t="s">
        <v>1867</v>
      </c>
      <c r="E98" s="7" t="s">
        <v>1868</v>
      </c>
      <c r="F98" s="7" t="s">
        <v>2125</v>
      </c>
      <c r="G98" s="7" t="s">
        <v>1871</v>
      </c>
      <c r="H98" s="7">
        <v>27088121</v>
      </c>
      <c r="I98" s="7">
        <v>1</v>
      </c>
      <c r="J98" s="7" t="s">
        <v>2126</v>
      </c>
      <c r="K98" s="8">
        <v>27515904</v>
      </c>
      <c r="L98" s="7" t="s">
        <v>1992</v>
      </c>
      <c r="M98" s="7" t="s">
        <v>2037</v>
      </c>
      <c r="N98" s="7" t="s">
        <v>2127</v>
      </c>
      <c r="O98" s="7"/>
      <c r="P98" s="13" t="s">
        <v>2128</v>
      </c>
    </row>
    <row r="99" spans="1:16" ht="30" x14ac:dyDescent="0.25">
      <c r="A99" s="7" t="s">
        <v>1927</v>
      </c>
      <c r="B99" s="7" t="str">
        <f>"0223"</f>
        <v>0223</v>
      </c>
      <c r="C99" s="7">
        <v>2020</v>
      </c>
      <c r="D99" s="7" t="s">
        <v>1867</v>
      </c>
      <c r="E99" s="7" t="s">
        <v>1868</v>
      </c>
      <c r="F99" s="7" t="s">
        <v>2129</v>
      </c>
      <c r="G99" s="7" t="s">
        <v>1871</v>
      </c>
      <c r="H99" s="7">
        <v>1085259862</v>
      </c>
      <c r="I99" s="7">
        <v>5</v>
      </c>
      <c r="J99" s="7" t="s">
        <v>2130</v>
      </c>
      <c r="K99" s="8">
        <v>27515904</v>
      </c>
      <c r="L99" s="7" t="s">
        <v>1992</v>
      </c>
      <c r="M99" s="7" t="s">
        <v>2037</v>
      </c>
      <c r="N99" s="7" t="s">
        <v>2127</v>
      </c>
      <c r="O99" s="7"/>
      <c r="P99" s="13" t="s">
        <v>2131</v>
      </c>
    </row>
    <row r="100" spans="1:16" ht="30" x14ac:dyDescent="0.25">
      <c r="A100" s="7" t="s">
        <v>1927</v>
      </c>
      <c r="B100" s="7" t="str">
        <f>"0224"</f>
        <v>0224</v>
      </c>
      <c r="C100" s="7">
        <v>2020</v>
      </c>
      <c r="D100" s="7" t="s">
        <v>1867</v>
      </c>
      <c r="E100" s="7" t="s">
        <v>1868</v>
      </c>
      <c r="F100" s="7" t="s">
        <v>2132</v>
      </c>
      <c r="G100" s="7" t="s">
        <v>1871</v>
      </c>
      <c r="H100" s="7">
        <v>27472714</v>
      </c>
      <c r="I100" s="7">
        <v>3</v>
      </c>
      <c r="J100" s="7" t="s">
        <v>2133</v>
      </c>
      <c r="K100" s="8">
        <v>27515904</v>
      </c>
      <c r="L100" s="7" t="s">
        <v>1992</v>
      </c>
      <c r="M100" s="7" t="s">
        <v>2037</v>
      </c>
      <c r="N100" s="7" t="s">
        <v>2127</v>
      </c>
      <c r="O100" s="7"/>
      <c r="P100" s="13" t="s">
        <v>2134</v>
      </c>
    </row>
    <row r="101" spans="1:16" ht="30" x14ac:dyDescent="0.25">
      <c r="A101" s="7" t="s">
        <v>1927</v>
      </c>
      <c r="B101" s="7" t="str">
        <f>"0960"</f>
        <v>0960</v>
      </c>
      <c r="C101" s="7">
        <v>2020</v>
      </c>
      <c r="D101" s="7" t="s">
        <v>1867</v>
      </c>
      <c r="E101" s="7" t="s">
        <v>1868</v>
      </c>
      <c r="F101" s="7" t="s">
        <v>3357</v>
      </c>
      <c r="G101" s="7" t="s">
        <v>1871</v>
      </c>
      <c r="H101" s="7">
        <v>5206870</v>
      </c>
      <c r="I101" s="7">
        <v>5</v>
      </c>
      <c r="J101" s="7" t="s">
        <v>1928</v>
      </c>
      <c r="K101" s="8">
        <v>27576416</v>
      </c>
      <c r="L101" s="7" t="s">
        <v>2257</v>
      </c>
      <c r="M101" s="7" t="s">
        <v>2331</v>
      </c>
      <c r="N101" s="7" t="s">
        <v>3358</v>
      </c>
      <c r="O101" s="7"/>
      <c r="P101" s="13" t="s">
        <v>3359</v>
      </c>
    </row>
    <row r="102" spans="1:16" ht="45" x14ac:dyDescent="0.25">
      <c r="A102" s="7" t="s">
        <v>1927</v>
      </c>
      <c r="B102" s="7" t="str">
        <f>"1550"</f>
        <v>1550</v>
      </c>
      <c r="C102" s="7">
        <v>2020</v>
      </c>
      <c r="D102" s="7" t="s">
        <v>1867</v>
      </c>
      <c r="E102" s="7" t="s">
        <v>1868</v>
      </c>
      <c r="F102" s="7" t="s">
        <v>4111</v>
      </c>
      <c r="G102" s="7" t="s">
        <v>1871</v>
      </c>
      <c r="H102" s="7">
        <v>12753737</v>
      </c>
      <c r="I102" s="7">
        <v>4</v>
      </c>
      <c r="J102" s="7" t="s">
        <v>4112</v>
      </c>
      <c r="K102" s="8">
        <v>17197440</v>
      </c>
      <c r="L102" s="7" t="s">
        <v>2207</v>
      </c>
      <c r="M102" s="7" t="s">
        <v>3875</v>
      </c>
      <c r="N102" s="7" t="s">
        <v>1974</v>
      </c>
      <c r="O102" s="7"/>
      <c r="P102" s="13" t="s">
        <v>4113</v>
      </c>
    </row>
    <row r="103" spans="1:16" ht="30" x14ac:dyDescent="0.25">
      <c r="A103" s="7" t="s">
        <v>2381</v>
      </c>
      <c r="B103" s="7" t="str">
        <f>"0353"</f>
        <v>0353</v>
      </c>
      <c r="C103" s="7">
        <v>2020</v>
      </c>
      <c r="D103" s="7" t="s">
        <v>1867</v>
      </c>
      <c r="E103" s="7" t="s">
        <v>1875</v>
      </c>
      <c r="F103" s="7" t="s">
        <v>2382</v>
      </c>
      <c r="G103" s="7" t="s">
        <v>1871</v>
      </c>
      <c r="H103" s="7">
        <v>59827747</v>
      </c>
      <c r="I103" s="7">
        <v>8</v>
      </c>
      <c r="J103" s="7" t="s">
        <v>2383</v>
      </c>
      <c r="K103" s="8">
        <v>17600000</v>
      </c>
      <c r="L103" s="7" t="s">
        <v>1898</v>
      </c>
      <c r="M103" s="7" t="s">
        <v>2154</v>
      </c>
      <c r="N103" s="7" t="s">
        <v>2197</v>
      </c>
      <c r="O103" s="7"/>
      <c r="P103" s="13" t="s">
        <v>2384</v>
      </c>
    </row>
    <row r="104" spans="1:16" ht="30" x14ac:dyDescent="0.25">
      <c r="A104" s="7" t="s">
        <v>2381</v>
      </c>
      <c r="B104" s="7" t="str">
        <f>"0356"</f>
        <v>0356</v>
      </c>
      <c r="C104" s="7">
        <v>2020</v>
      </c>
      <c r="D104" s="7" t="s">
        <v>1867</v>
      </c>
      <c r="E104" s="7" t="s">
        <v>1868</v>
      </c>
      <c r="F104" s="7" t="s">
        <v>2385</v>
      </c>
      <c r="G104" s="7" t="s">
        <v>1871</v>
      </c>
      <c r="H104" s="7">
        <v>30733920</v>
      </c>
      <c r="I104" s="7">
        <v>6</v>
      </c>
      <c r="J104" s="7" t="s">
        <v>2386</v>
      </c>
      <c r="K104" s="8">
        <v>27515904</v>
      </c>
      <c r="L104" s="7" t="s">
        <v>1898</v>
      </c>
      <c r="M104" s="7" t="s">
        <v>2171</v>
      </c>
      <c r="N104" s="7" t="s">
        <v>2197</v>
      </c>
      <c r="O104" s="7"/>
      <c r="P104" s="13" t="s">
        <v>2387</v>
      </c>
    </row>
    <row r="105" spans="1:16" ht="30" x14ac:dyDescent="0.25">
      <c r="A105" s="7" t="s">
        <v>2381</v>
      </c>
      <c r="B105" s="7" t="str">
        <f>"0357"</f>
        <v>0357</v>
      </c>
      <c r="C105" s="7">
        <v>2020</v>
      </c>
      <c r="D105" s="7" t="s">
        <v>1867</v>
      </c>
      <c r="E105" s="7" t="s">
        <v>1868</v>
      </c>
      <c r="F105" s="7" t="s">
        <v>2388</v>
      </c>
      <c r="G105" s="7" t="s">
        <v>1871</v>
      </c>
      <c r="H105" s="7">
        <v>1085256774</v>
      </c>
      <c r="I105" s="7">
        <v>1</v>
      </c>
      <c r="J105" s="7" t="s">
        <v>2389</v>
      </c>
      <c r="K105" s="8">
        <v>27515904</v>
      </c>
      <c r="L105" s="7" t="s">
        <v>1898</v>
      </c>
      <c r="M105" s="7" t="s">
        <v>2062</v>
      </c>
      <c r="N105" s="7" t="s">
        <v>2197</v>
      </c>
      <c r="O105" s="7"/>
      <c r="P105" s="13" t="s">
        <v>2390</v>
      </c>
    </row>
    <row r="106" spans="1:16" ht="30" x14ac:dyDescent="0.25">
      <c r="A106" s="7" t="s">
        <v>2381</v>
      </c>
      <c r="B106" s="7" t="str">
        <f>"0358"</f>
        <v>0358</v>
      </c>
      <c r="C106" s="7">
        <v>2020</v>
      </c>
      <c r="D106" s="7" t="s">
        <v>1867</v>
      </c>
      <c r="E106" s="7" t="s">
        <v>1868</v>
      </c>
      <c r="F106" s="7" t="s">
        <v>2391</v>
      </c>
      <c r="G106" s="7" t="s">
        <v>1871</v>
      </c>
      <c r="H106" s="7">
        <v>1144049720</v>
      </c>
      <c r="I106" s="7">
        <v>0</v>
      </c>
      <c r="J106" s="7" t="s">
        <v>2392</v>
      </c>
      <c r="K106" s="8">
        <v>20000000</v>
      </c>
      <c r="L106" s="7" t="s">
        <v>1898</v>
      </c>
      <c r="M106" s="7" t="s">
        <v>2062</v>
      </c>
      <c r="N106" s="7" t="s">
        <v>2197</v>
      </c>
      <c r="O106" s="7"/>
      <c r="P106" s="13" t="s">
        <v>2393</v>
      </c>
    </row>
    <row r="107" spans="1:16" ht="30" x14ac:dyDescent="0.25">
      <c r="A107" s="7" t="s">
        <v>2381</v>
      </c>
      <c r="B107" s="7" t="str">
        <f>"0359"</f>
        <v>0359</v>
      </c>
      <c r="C107" s="7">
        <v>2020</v>
      </c>
      <c r="D107" s="7" t="s">
        <v>1867</v>
      </c>
      <c r="E107" s="7" t="s">
        <v>1868</v>
      </c>
      <c r="F107" s="7" t="s">
        <v>2394</v>
      </c>
      <c r="G107" s="7" t="s">
        <v>1871</v>
      </c>
      <c r="H107" s="7">
        <v>1026567781</v>
      </c>
      <c r="I107" s="7">
        <v>3</v>
      </c>
      <c r="J107" s="7" t="s">
        <v>2395</v>
      </c>
      <c r="K107" s="8">
        <v>20000000</v>
      </c>
      <c r="L107" s="7" t="s">
        <v>1898</v>
      </c>
      <c r="M107" s="7" t="s">
        <v>2062</v>
      </c>
      <c r="N107" s="7" t="s">
        <v>2197</v>
      </c>
      <c r="O107" s="7"/>
      <c r="P107" s="13" t="s">
        <v>2396</v>
      </c>
    </row>
    <row r="108" spans="1:16" ht="30" x14ac:dyDescent="0.25">
      <c r="A108" s="7" t="s">
        <v>2381</v>
      </c>
      <c r="B108" s="7" t="str">
        <f>"0360"</f>
        <v>0360</v>
      </c>
      <c r="C108" s="7">
        <v>2020</v>
      </c>
      <c r="D108" s="7" t="s">
        <v>1867</v>
      </c>
      <c r="E108" s="7" t="s">
        <v>1868</v>
      </c>
      <c r="F108" s="7" t="s">
        <v>2397</v>
      </c>
      <c r="G108" s="7" t="s">
        <v>1871</v>
      </c>
      <c r="H108" s="7">
        <v>59830178</v>
      </c>
      <c r="I108" s="7">
        <v>8</v>
      </c>
      <c r="J108" s="7" t="s">
        <v>2398</v>
      </c>
      <c r="K108" s="8">
        <v>27515904</v>
      </c>
      <c r="L108" s="7" t="s">
        <v>1898</v>
      </c>
      <c r="M108" s="7" t="s">
        <v>2171</v>
      </c>
      <c r="N108" s="7" t="s">
        <v>2197</v>
      </c>
      <c r="O108" s="7"/>
      <c r="P108" s="13" t="s">
        <v>2399</v>
      </c>
    </row>
    <row r="109" spans="1:16" ht="30" x14ac:dyDescent="0.25">
      <c r="A109" s="7" t="s">
        <v>2381</v>
      </c>
      <c r="B109" s="7" t="str">
        <f>"0629"</f>
        <v>0629</v>
      </c>
      <c r="C109" s="7">
        <v>2020</v>
      </c>
      <c r="D109" s="7" t="s">
        <v>1867</v>
      </c>
      <c r="E109" s="7" t="s">
        <v>1868</v>
      </c>
      <c r="F109" s="7" t="s">
        <v>2853</v>
      </c>
      <c r="G109" s="7" t="s">
        <v>1871</v>
      </c>
      <c r="H109" s="7">
        <v>1087047834</v>
      </c>
      <c r="I109" s="7">
        <v>6</v>
      </c>
      <c r="J109" s="7" t="s">
        <v>2854</v>
      </c>
      <c r="K109" s="8">
        <v>20000000</v>
      </c>
      <c r="L109" s="7" t="s">
        <v>1898</v>
      </c>
      <c r="M109" s="7" t="s">
        <v>2062</v>
      </c>
      <c r="N109" s="7" t="s">
        <v>2197</v>
      </c>
      <c r="O109" s="7"/>
      <c r="P109" s="13" t="s">
        <v>2855</v>
      </c>
    </row>
    <row r="110" spans="1:16" ht="30" x14ac:dyDescent="0.25">
      <c r="A110" s="7" t="s">
        <v>2381</v>
      </c>
      <c r="B110" s="7" t="str">
        <f>"0911"</f>
        <v>0911</v>
      </c>
      <c r="C110" s="7">
        <v>2020</v>
      </c>
      <c r="D110" s="7" t="s">
        <v>1867</v>
      </c>
      <c r="E110" s="7" t="s">
        <v>1868</v>
      </c>
      <c r="F110" s="7" t="s">
        <v>3311</v>
      </c>
      <c r="G110" s="7" t="s">
        <v>1871</v>
      </c>
      <c r="H110" s="7">
        <v>1085256720</v>
      </c>
      <c r="I110" s="7">
        <v>4</v>
      </c>
      <c r="J110" s="7" t="s">
        <v>3312</v>
      </c>
      <c r="K110" s="8">
        <v>27515904</v>
      </c>
      <c r="L110" s="7" t="s">
        <v>2016</v>
      </c>
      <c r="M110" s="7" t="s">
        <v>2421</v>
      </c>
      <c r="N110" s="7" t="s">
        <v>3313</v>
      </c>
      <c r="O110" s="7"/>
      <c r="P110" s="13" t="s">
        <v>3314</v>
      </c>
    </row>
    <row r="111" spans="1:16" ht="30" x14ac:dyDescent="0.25">
      <c r="A111" s="7" t="s">
        <v>2885</v>
      </c>
      <c r="B111" s="7" t="str">
        <f>"0851"</f>
        <v>0851</v>
      </c>
      <c r="C111" s="7">
        <v>2020</v>
      </c>
      <c r="D111" s="7" t="s">
        <v>1867</v>
      </c>
      <c r="E111" s="7" t="s">
        <v>1868</v>
      </c>
      <c r="F111" s="7" t="s">
        <v>3193</v>
      </c>
      <c r="G111" s="7" t="s">
        <v>1871</v>
      </c>
      <c r="H111" s="7">
        <v>1085252772</v>
      </c>
      <c r="I111" s="7">
        <v>9</v>
      </c>
      <c r="J111" s="7" t="s">
        <v>3194</v>
      </c>
      <c r="K111" s="8">
        <v>24076416</v>
      </c>
      <c r="L111" s="7" t="s">
        <v>1973</v>
      </c>
      <c r="M111" s="7" t="s">
        <v>2204</v>
      </c>
      <c r="N111" s="7" t="s">
        <v>2070</v>
      </c>
      <c r="O111" s="7"/>
      <c r="P111" s="13" t="s">
        <v>3195</v>
      </c>
    </row>
    <row r="112" spans="1:16" ht="30" x14ac:dyDescent="0.25">
      <c r="A112" s="7" t="s">
        <v>2885</v>
      </c>
      <c r="B112" s="7" t="str">
        <f>"0642"</f>
        <v>0642</v>
      </c>
      <c r="C112" s="7">
        <v>2020</v>
      </c>
      <c r="D112" s="7" t="s">
        <v>1867</v>
      </c>
      <c r="E112" s="7" t="s">
        <v>1868</v>
      </c>
      <c r="F112" s="7" t="s">
        <v>2886</v>
      </c>
      <c r="G112" s="7" t="s">
        <v>1871</v>
      </c>
      <c r="H112" s="7">
        <v>1085305167</v>
      </c>
      <c r="I112" s="7">
        <v>1</v>
      </c>
      <c r="J112" s="7" t="s">
        <v>2887</v>
      </c>
      <c r="K112" s="8">
        <v>27515904</v>
      </c>
      <c r="L112" s="7" t="s">
        <v>1997</v>
      </c>
      <c r="M112" s="7" t="s">
        <v>2022</v>
      </c>
      <c r="N112" s="7" t="s">
        <v>2197</v>
      </c>
      <c r="O112" s="7"/>
      <c r="P112" s="13" t="s">
        <v>2888</v>
      </c>
    </row>
    <row r="113" spans="1:16" ht="30" x14ac:dyDescent="0.25">
      <c r="A113" s="7" t="s">
        <v>2885</v>
      </c>
      <c r="B113" s="7" t="str">
        <f>"0643"</f>
        <v>0643</v>
      </c>
      <c r="C113" s="7">
        <v>2020</v>
      </c>
      <c r="D113" s="7" t="s">
        <v>1867</v>
      </c>
      <c r="E113" s="7" t="s">
        <v>1868</v>
      </c>
      <c r="F113" s="7" t="s">
        <v>2889</v>
      </c>
      <c r="G113" s="7" t="s">
        <v>1871</v>
      </c>
      <c r="H113" s="7">
        <v>1085257631</v>
      </c>
      <c r="I113" s="7">
        <v>1</v>
      </c>
      <c r="J113" s="7" t="s">
        <v>2890</v>
      </c>
      <c r="K113" s="8">
        <v>27515904</v>
      </c>
      <c r="L113" s="7" t="s">
        <v>1997</v>
      </c>
      <c r="M113" s="7" t="s">
        <v>2116</v>
      </c>
      <c r="N113" s="7" t="s">
        <v>2197</v>
      </c>
      <c r="O113" s="7"/>
      <c r="P113" s="13" t="s">
        <v>2891</v>
      </c>
    </row>
    <row r="114" spans="1:16" ht="30" x14ac:dyDescent="0.25">
      <c r="A114" s="7" t="s">
        <v>2885</v>
      </c>
      <c r="B114" s="7" t="str">
        <f>"0644"</f>
        <v>0644</v>
      </c>
      <c r="C114" s="7">
        <v>2020</v>
      </c>
      <c r="D114" s="7" t="s">
        <v>1867</v>
      </c>
      <c r="E114" s="7" t="s">
        <v>1868</v>
      </c>
      <c r="F114" s="7" t="s">
        <v>2892</v>
      </c>
      <c r="G114" s="7" t="s">
        <v>1871</v>
      </c>
      <c r="H114" s="7">
        <v>27255373</v>
      </c>
      <c r="I114" s="7">
        <v>5</v>
      </c>
      <c r="J114" s="7" t="s">
        <v>2893</v>
      </c>
      <c r="K114" s="8">
        <v>27515904</v>
      </c>
      <c r="L114" s="7" t="s">
        <v>1997</v>
      </c>
      <c r="M114" s="7" t="s">
        <v>2116</v>
      </c>
      <c r="N114" s="7" t="s">
        <v>2197</v>
      </c>
      <c r="O114" s="7"/>
      <c r="P114" s="13" t="s">
        <v>2894</v>
      </c>
    </row>
    <row r="115" spans="1:16" ht="30" x14ac:dyDescent="0.25">
      <c r="A115" s="7" t="s">
        <v>2885</v>
      </c>
      <c r="B115" s="7" t="str">
        <f>"0645"</f>
        <v>0645</v>
      </c>
      <c r="C115" s="7">
        <v>2020</v>
      </c>
      <c r="D115" s="7" t="s">
        <v>1867</v>
      </c>
      <c r="E115" s="7" t="s">
        <v>1868</v>
      </c>
      <c r="F115" s="7" t="s">
        <v>2895</v>
      </c>
      <c r="G115" s="7" t="s">
        <v>1871</v>
      </c>
      <c r="H115" s="7">
        <v>59835049</v>
      </c>
      <c r="I115" s="7">
        <v>9</v>
      </c>
      <c r="J115" s="7" t="s">
        <v>2896</v>
      </c>
      <c r="K115" s="8">
        <v>27515904</v>
      </c>
      <c r="L115" s="7" t="s">
        <v>1997</v>
      </c>
      <c r="M115" s="7" t="s">
        <v>2062</v>
      </c>
      <c r="N115" s="7" t="s">
        <v>2197</v>
      </c>
      <c r="O115" s="7"/>
      <c r="P115" s="13" t="s">
        <v>2897</v>
      </c>
    </row>
    <row r="116" spans="1:16" ht="30" x14ac:dyDescent="0.25">
      <c r="A116" s="7" t="s">
        <v>2885</v>
      </c>
      <c r="B116" s="7" t="str">
        <f>"0646"</f>
        <v>0646</v>
      </c>
      <c r="C116" s="7">
        <v>2020</v>
      </c>
      <c r="D116" s="7" t="s">
        <v>1867</v>
      </c>
      <c r="E116" s="7" t="s">
        <v>1868</v>
      </c>
      <c r="F116" s="7" t="s">
        <v>2898</v>
      </c>
      <c r="G116" s="7" t="s">
        <v>1871</v>
      </c>
      <c r="H116" s="7">
        <v>12751805</v>
      </c>
      <c r="I116" s="7">
        <v>8</v>
      </c>
      <c r="J116" s="7" t="s">
        <v>2899</v>
      </c>
      <c r="K116" s="8">
        <v>27515904</v>
      </c>
      <c r="L116" s="7" t="s">
        <v>1997</v>
      </c>
      <c r="M116" s="7" t="s">
        <v>2062</v>
      </c>
      <c r="N116" s="7" t="s">
        <v>2197</v>
      </c>
      <c r="O116" s="7"/>
      <c r="P116" s="13" t="s">
        <v>2900</v>
      </c>
    </row>
    <row r="117" spans="1:16" ht="30" x14ac:dyDescent="0.25">
      <c r="A117" s="7" t="s">
        <v>2885</v>
      </c>
      <c r="B117" s="7" t="str">
        <f>"1176"</f>
        <v>1176</v>
      </c>
      <c r="C117" s="7">
        <v>2020</v>
      </c>
      <c r="D117" s="7" t="s">
        <v>1867</v>
      </c>
      <c r="E117" s="7" t="s">
        <v>1875</v>
      </c>
      <c r="F117" s="7" t="s">
        <v>3679</v>
      </c>
      <c r="G117" s="7" t="s">
        <v>1871</v>
      </c>
      <c r="H117" s="7">
        <v>12997337</v>
      </c>
      <c r="I117" s="7">
        <v>9</v>
      </c>
      <c r="J117" s="7" t="s">
        <v>3680</v>
      </c>
      <c r="K117" s="8">
        <v>18550000</v>
      </c>
      <c r="L117" s="7" t="s">
        <v>2306</v>
      </c>
      <c r="M117" s="7" t="s">
        <v>2717</v>
      </c>
      <c r="N117" s="7" t="s">
        <v>3132</v>
      </c>
      <c r="O117" s="7"/>
      <c r="P117" s="13" t="s">
        <v>3681</v>
      </c>
    </row>
    <row r="118" spans="1:16" ht="45" x14ac:dyDescent="0.25">
      <c r="A118" s="7" t="s">
        <v>2885</v>
      </c>
      <c r="B118" s="7" t="str">
        <f>"1517"</f>
        <v>1517</v>
      </c>
      <c r="C118" s="7">
        <v>2020</v>
      </c>
      <c r="D118" s="7" t="s">
        <v>1867</v>
      </c>
      <c r="E118" s="7" t="s">
        <v>1868</v>
      </c>
      <c r="F118" s="7" t="s">
        <v>4055</v>
      </c>
      <c r="G118" s="7" t="s">
        <v>1871</v>
      </c>
      <c r="H118" s="7">
        <v>1123321521</v>
      </c>
      <c r="I118" s="7">
        <v>0</v>
      </c>
      <c r="J118" s="7" t="s">
        <v>4056</v>
      </c>
      <c r="K118" s="8">
        <v>13757952</v>
      </c>
      <c r="L118" s="7" t="s">
        <v>3997</v>
      </c>
      <c r="M118" s="7" t="s">
        <v>4057</v>
      </c>
      <c r="N118" s="7" t="s">
        <v>2156</v>
      </c>
      <c r="O118" s="7"/>
      <c r="P118" s="13" t="s">
        <v>4058</v>
      </c>
    </row>
    <row r="119" spans="1:16" ht="45" x14ac:dyDescent="0.25">
      <c r="A119" s="7" t="s">
        <v>2885</v>
      </c>
      <c r="B119" s="7" t="str">
        <f>"1608"</f>
        <v>1608</v>
      </c>
      <c r="C119" s="7">
        <v>2020</v>
      </c>
      <c r="D119" s="7" t="s">
        <v>1867</v>
      </c>
      <c r="E119" s="7" t="s">
        <v>1868</v>
      </c>
      <c r="F119" s="7" t="s">
        <v>4217</v>
      </c>
      <c r="G119" s="7" t="s">
        <v>1871</v>
      </c>
      <c r="H119" s="7">
        <v>30730343</v>
      </c>
      <c r="I119" s="7">
        <v>2</v>
      </c>
      <c r="J119" s="7" t="s">
        <v>4218</v>
      </c>
      <c r="K119" s="8">
        <v>13757952</v>
      </c>
      <c r="L119" s="7" t="s">
        <v>3875</v>
      </c>
      <c r="M119" s="7" t="s">
        <v>4147</v>
      </c>
      <c r="N119" s="7" t="s">
        <v>4210</v>
      </c>
      <c r="O119" s="7"/>
      <c r="P119" s="13" t="s">
        <v>4148</v>
      </c>
    </row>
    <row r="120" spans="1:16" x14ac:dyDescent="0.25">
      <c r="A120" s="7" t="s">
        <v>2885</v>
      </c>
      <c r="B120" s="7" t="str">
        <f>"1587"</f>
        <v>1587</v>
      </c>
      <c r="C120" s="7">
        <v>2020</v>
      </c>
      <c r="D120" s="7" t="s">
        <v>1867</v>
      </c>
      <c r="E120" s="7" t="s">
        <v>1868</v>
      </c>
      <c r="F120" s="7" t="s">
        <v>4192</v>
      </c>
      <c r="G120" s="7" t="s">
        <v>1871</v>
      </c>
      <c r="H120" s="7">
        <v>87513707</v>
      </c>
      <c r="I120" s="7">
        <v>7</v>
      </c>
      <c r="J120" s="7" t="s">
        <v>2922</v>
      </c>
      <c r="K120" s="8">
        <v>15821644</v>
      </c>
      <c r="L120" s="7" t="s">
        <v>3882</v>
      </c>
      <c r="M120" s="7" t="s">
        <v>1986</v>
      </c>
      <c r="N120" s="7" t="s">
        <v>1974</v>
      </c>
      <c r="O120" s="7"/>
      <c r="P120" s="13" t="s">
        <v>1993</v>
      </c>
    </row>
    <row r="121" spans="1:16" ht="30" x14ac:dyDescent="0.25">
      <c r="A121" s="7" t="s">
        <v>2065</v>
      </c>
      <c r="B121" s="7" t="str">
        <f>"0193"</f>
        <v>0193</v>
      </c>
      <c r="C121" s="7">
        <v>2020</v>
      </c>
      <c r="D121" s="7" t="s">
        <v>1867</v>
      </c>
      <c r="E121" s="7" t="s">
        <v>1868</v>
      </c>
      <c r="F121" s="7" t="s">
        <v>2066</v>
      </c>
      <c r="G121" s="7" t="s">
        <v>1871</v>
      </c>
      <c r="H121" s="7">
        <v>1085301036</v>
      </c>
      <c r="I121" s="7">
        <v>7</v>
      </c>
      <c r="J121" s="7" t="s">
        <v>2069</v>
      </c>
      <c r="K121" s="8">
        <v>27515904</v>
      </c>
      <c r="L121" s="7" t="s">
        <v>2060</v>
      </c>
      <c r="M121" s="7" t="s">
        <v>1966</v>
      </c>
      <c r="N121" s="7" t="s">
        <v>2070</v>
      </c>
      <c r="O121" s="7" t="s">
        <v>2071</v>
      </c>
      <c r="P121" s="13" t="s">
        <v>2072</v>
      </c>
    </row>
    <row r="122" spans="1:16" ht="30" x14ac:dyDescent="0.25">
      <c r="A122" s="7" t="s">
        <v>2065</v>
      </c>
      <c r="B122" s="7" t="str">
        <f>"0630"</f>
        <v>0630</v>
      </c>
      <c r="C122" s="7">
        <v>2020</v>
      </c>
      <c r="D122" s="7" t="s">
        <v>1867</v>
      </c>
      <c r="E122" s="7" t="s">
        <v>1875</v>
      </c>
      <c r="F122" s="7" t="s">
        <v>2856</v>
      </c>
      <c r="G122" s="7" t="s">
        <v>1871</v>
      </c>
      <c r="H122" s="7">
        <v>1085325448</v>
      </c>
      <c r="I122" s="7">
        <v>1</v>
      </c>
      <c r="J122" s="7" t="s">
        <v>1903</v>
      </c>
      <c r="K122" s="8">
        <v>21200000</v>
      </c>
      <c r="L122" s="7" t="s">
        <v>1898</v>
      </c>
      <c r="M122" s="7" t="s">
        <v>2154</v>
      </c>
      <c r="N122" s="7" t="s">
        <v>2197</v>
      </c>
      <c r="O122" s="7"/>
      <c r="P122" s="13" t="s">
        <v>2857</v>
      </c>
    </row>
    <row r="123" spans="1:16" ht="30" x14ac:dyDescent="0.25">
      <c r="A123" s="7" t="s">
        <v>2065</v>
      </c>
      <c r="B123" s="7" t="str">
        <f>"0631"</f>
        <v>0631</v>
      </c>
      <c r="C123" s="7">
        <v>2020</v>
      </c>
      <c r="D123" s="7" t="s">
        <v>1867</v>
      </c>
      <c r="E123" s="7" t="s">
        <v>1868</v>
      </c>
      <c r="F123" s="7" t="s">
        <v>2858</v>
      </c>
      <c r="G123" s="7" t="s">
        <v>1871</v>
      </c>
      <c r="H123" s="7">
        <v>36951501</v>
      </c>
      <c r="I123" s="7">
        <v>1</v>
      </c>
      <c r="J123" s="7" t="s">
        <v>2859</v>
      </c>
      <c r="K123" s="8">
        <v>27515904</v>
      </c>
      <c r="L123" s="7" t="s">
        <v>1898</v>
      </c>
      <c r="M123" s="7" t="s">
        <v>2154</v>
      </c>
      <c r="N123" s="7" t="s">
        <v>2197</v>
      </c>
      <c r="O123" s="7"/>
      <c r="P123" s="13" t="s">
        <v>2860</v>
      </c>
    </row>
    <row r="124" spans="1:16" ht="30" x14ac:dyDescent="0.25">
      <c r="A124" s="7" t="s">
        <v>2065</v>
      </c>
      <c r="B124" s="7" t="str">
        <f>"0647"</f>
        <v>0647</v>
      </c>
      <c r="C124" s="7">
        <v>2020</v>
      </c>
      <c r="D124" s="7" t="s">
        <v>1867</v>
      </c>
      <c r="E124" s="7" t="s">
        <v>1868</v>
      </c>
      <c r="F124" s="7" t="s">
        <v>2901</v>
      </c>
      <c r="G124" s="7" t="s">
        <v>1871</v>
      </c>
      <c r="H124" s="7">
        <v>1087046003</v>
      </c>
      <c r="I124" s="7">
        <v>8</v>
      </c>
      <c r="J124" s="7" t="s">
        <v>2902</v>
      </c>
      <c r="K124" s="8">
        <v>27515904</v>
      </c>
      <c r="L124" s="7" t="s">
        <v>1997</v>
      </c>
      <c r="M124" s="7" t="s">
        <v>2154</v>
      </c>
      <c r="N124" s="7" t="s">
        <v>2903</v>
      </c>
      <c r="O124" s="7"/>
      <c r="P124" s="13" t="s">
        <v>2904</v>
      </c>
    </row>
    <row r="125" spans="1:16" ht="30" x14ac:dyDescent="0.25">
      <c r="A125" s="7" t="s">
        <v>2065</v>
      </c>
      <c r="B125" s="7" t="str">
        <f>"0967"</f>
        <v>0967</v>
      </c>
      <c r="C125" s="7">
        <v>2020</v>
      </c>
      <c r="D125" s="7" t="s">
        <v>1867</v>
      </c>
      <c r="E125" s="7" t="s">
        <v>1868</v>
      </c>
      <c r="F125" s="7" t="s">
        <v>3371</v>
      </c>
      <c r="G125" s="7" t="s">
        <v>1871</v>
      </c>
      <c r="H125" s="7">
        <v>37086824</v>
      </c>
      <c r="I125" s="7">
        <v>6</v>
      </c>
      <c r="J125" s="7" t="s">
        <v>3372</v>
      </c>
      <c r="K125" s="8">
        <v>27515904</v>
      </c>
      <c r="L125" s="7" t="s">
        <v>2257</v>
      </c>
      <c r="M125" s="7" t="s">
        <v>2439</v>
      </c>
      <c r="N125" s="7" t="s">
        <v>3337</v>
      </c>
      <c r="O125" s="7"/>
      <c r="P125" s="13" t="s">
        <v>3373</v>
      </c>
    </row>
    <row r="126" spans="1:16" ht="30" x14ac:dyDescent="0.25">
      <c r="A126" s="7" t="s">
        <v>2065</v>
      </c>
      <c r="B126" s="7" t="str">
        <f>"1127"</f>
        <v>1127</v>
      </c>
      <c r="C126" s="7">
        <v>2020</v>
      </c>
      <c r="D126" s="7" t="s">
        <v>1867</v>
      </c>
      <c r="E126" s="7" t="s">
        <v>1868</v>
      </c>
      <c r="F126" s="7" t="s">
        <v>2066</v>
      </c>
      <c r="G126" s="7" t="s">
        <v>1871</v>
      </c>
      <c r="H126" s="7">
        <v>1086136796</v>
      </c>
      <c r="I126" s="7">
        <v>2</v>
      </c>
      <c r="J126" s="7" t="s">
        <v>3615</v>
      </c>
      <c r="K126" s="8">
        <v>27515904</v>
      </c>
      <c r="L126" s="7" t="s">
        <v>2417</v>
      </c>
      <c r="M126" s="7" t="s">
        <v>2246</v>
      </c>
      <c r="N126" s="7" t="s">
        <v>3607</v>
      </c>
      <c r="O126" s="7"/>
      <c r="P126" s="13" t="s">
        <v>3616</v>
      </c>
    </row>
    <row r="127" spans="1:16" ht="45" x14ac:dyDescent="0.25">
      <c r="A127" s="7" t="s">
        <v>2065</v>
      </c>
      <c r="B127" s="7" t="str">
        <f>"1543"</f>
        <v>1543</v>
      </c>
      <c r="C127" s="7">
        <v>2020</v>
      </c>
      <c r="D127" s="7" t="s">
        <v>1867</v>
      </c>
      <c r="E127" s="7" t="s">
        <v>1868</v>
      </c>
      <c r="F127" s="7" t="s">
        <v>4104</v>
      </c>
      <c r="G127" s="7" t="s">
        <v>1871</v>
      </c>
      <c r="H127" s="7">
        <v>1085301213</v>
      </c>
      <c r="I127" s="7">
        <v>4</v>
      </c>
      <c r="J127" s="7" t="s">
        <v>4105</v>
      </c>
      <c r="K127" s="8">
        <v>13757952</v>
      </c>
      <c r="L127" s="7" t="s">
        <v>2207</v>
      </c>
      <c r="M127" s="7" t="s">
        <v>1909</v>
      </c>
      <c r="N127" s="7" t="s">
        <v>2156</v>
      </c>
      <c r="O127" s="7"/>
      <c r="P127" s="13" t="s">
        <v>4106</v>
      </c>
    </row>
    <row r="128" spans="1:16" ht="45" x14ac:dyDescent="0.25">
      <c r="A128" s="7" t="s">
        <v>2065</v>
      </c>
      <c r="B128" s="7" t="str">
        <f>"1542"</f>
        <v>1542</v>
      </c>
      <c r="C128" s="7">
        <v>2020</v>
      </c>
      <c r="D128" s="7" t="s">
        <v>1867</v>
      </c>
      <c r="E128" s="7" t="s">
        <v>1868</v>
      </c>
      <c r="F128" s="7" t="s">
        <v>4102</v>
      </c>
      <c r="G128" s="7" t="s">
        <v>1871</v>
      </c>
      <c r="H128" s="7">
        <v>1085293531</v>
      </c>
      <c r="I128" s="7">
        <v>6</v>
      </c>
      <c r="J128" s="7" t="s">
        <v>2068</v>
      </c>
      <c r="K128" s="8">
        <v>13757952</v>
      </c>
      <c r="L128" s="7" t="s">
        <v>2207</v>
      </c>
      <c r="M128" s="7" t="s">
        <v>3816</v>
      </c>
      <c r="N128" s="7" t="s">
        <v>4093</v>
      </c>
      <c r="O128" s="7"/>
      <c r="P128" s="13" t="s">
        <v>4103</v>
      </c>
    </row>
    <row r="129" spans="1:16" ht="45" x14ac:dyDescent="0.25">
      <c r="A129" s="7" t="s">
        <v>2065</v>
      </c>
      <c r="B129" s="7" t="str">
        <f>"1544"</f>
        <v>1544</v>
      </c>
      <c r="C129" s="7">
        <v>2020</v>
      </c>
      <c r="D129" s="7" t="s">
        <v>1867</v>
      </c>
      <c r="E129" s="7" t="s">
        <v>1868</v>
      </c>
      <c r="F129" s="7" t="s">
        <v>4107</v>
      </c>
      <c r="G129" s="7" t="s">
        <v>1871</v>
      </c>
      <c r="H129" s="7">
        <v>13068630</v>
      </c>
      <c r="I129" s="7">
        <v>0</v>
      </c>
      <c r="J129" s="7" t="s">
        <v>4108</v>
      </c>
      <c r="K129" s="8">
        <v>13757952</v>
      </c>
      <c r="L129" s="7" t="s">
        <v>2207</v>
      </c>
      <c r="M129" s="7" t="s">
        <v>3986</v>
      </c>
      <c r="N129" s="7" t="s">
        <v>4086</v>
      </c>
      <c r="O129" s="7"/>
      <c r="P129" s="13" t="s">
        <v>4109</v>
      </c>
    </row>
    <row r="130" spans="1:16" ht="45" x14ac:dyDescent="0.25">
      <c r="A130" s="7" t="s">
        <v>2065</v>
      </c>
      <c r="B130" s="7" t="str">
        <f>"1613"</f>
        <v>1613</v>
      </c>
      <c r="C130" s="7">
        <v>2020</v>
      </c>
      <c r="D130" s="7" t="s">
        <v>1867</v>
      </c>
      <c r="E130" s="7" t="s">
        <v>1868</v>
      </c>
      <c r="F130" s="7" t="s">
        <v>4227</v>
      </c>
      <c r="G130" s="7" t="s">
        <v>1871</v>
      </c>
      <c r="H130" s="7">
        <v>37088034</v>
      </c>
      <c r="I130" s="7">
        <v>3</v>
      </c>
      <c r="J130" s="7" t="s">
        <v>4228</v>
      </c>
      <c r="K130" s="8">
        <v>13757952</v>
      </c>
      <c r="L130" s="7" t="s">
        <v>3986</v>
      </c>
      <c r="M130" s="7" t="s">
        <v>3053</v>
      </c>
      <c r="N130" s="7" t="s">
        <v>4221</v>
      </c>
      <c r="O130" s="7"/>
      <c r="P130" s="13" t="s">
        <v>4229</v>
      </c>
    </row>
    <row r="131" spans="1:16" ht="30" x14ac:dyDescent="0.25">
      <c r="A131" s="7" t="s">
        <v>1983</v>
      </c>
      <c r="B131" s="7" t="str">
        <f>"0136"</f>
        <v>0136</v>
      </c>
      <c r="C131" s="7">
        <v>2020</v>
      </c>
      <c r="D131" s="7" t="s">
        <v>1867</v>
      </c>
      <c r="E131" s="7" t="s">
        <v>1868</v>
      </c>
      <c r="F131" s="7" t="s">
        <v>1984</v>
      </c>
      <c r="G131" s="7" t="s">
        <v>1871</v>
      </c>
      <c r="H131" s="7">
        <v>37086777</v>
      </c>
      <c r="I131" s="7">
        <v>8</v>
      </c>
      <c r="J131" s="7" t="s">
        <v>1985</v>
      </c>
      <c r="K131" s="8">
        <v>27515904</v>
      </c>
      <c r="L131" s="7" t="s">
        <v>1978</v>
      </c>
      <c r="M131" s="7" t="s">
        <v>1982</v>
      </c>
      <c r="N131" s="7" t="s">
        <v>1986</v>
      </c>
      <c r="O131" s="7" t="s">
        <v>1987</v>
      </c>
      <c r="P131" s="13" t="s">
        <v>1988</v>
      </c>
    </row>
    <row r="132" spans="1:16" ht="30" x14ac:dyDescent="0.25">
      <c r="A132" s="7" t="s">
        <v>1983</v>
      </c>
      <c r="B132" s="7" t="str">
        <f>"0763"</f>
        <v>0763</v>
      </c>
      <c r="C132" s="7">
        <v>2020</v>
      </c>
      <c r="D132" s="7" t="s">
        <v>1867</v>
      </c>
      <c r="E132" s="7" t="s">
        <v>1868</v>
      </c>
      <c r="F132" s="7" t="s">
        <v>3036</v>
      </c>
      <c r="G132" s="7" t="s">
        <v>1871</v>
      </c>
      <c r="H132" s="7">
        <v>1085296964</v>
      </c>
      <c r="I132" s="7">
        <v>5</v>
      </c>
      <c r="J132" s="7" t="s">
        <v>3037</v>
      </c>
      <c r="K132" s="8">
        <v>15264000</v>
      </c>
      <c r="L132" s="7" t="s">
        <v>1980</v>
      </c>
      <c r="M132" s="7" t="s">
        <v>2239</v>
      </c>
      <c r="N132" s="7" t="s">
        <v>2167</v>
      </c>
      <c r="O132" s="7" t="s">
        <v>3038</v>
      </c>
      <c r="P132" s="13" t="s">
        <v>3039</v>
      </c>
    </row>
    <row r="133" spans="1:16" ht="30" x14ac:dyDescent="0.25">
      <c r="A133" s="7" t="s">
        <v>1983</v>
      </c>
      <c r="B133" s="7" t="str">
        <f>"0764"</f>
        <v>0764</v>
      </c>
      <c r="C133" s="7">
        <v>2020</v>
      </c>
      <c r="D133" s="7" t="s">
        <v>1867</v>
      </c>
      <c r="E133" s="7" t="s">
        <v>1868</v>
      </c>
      <c r="F133" s="7" t="s">
        <v>3040</v>
      </c>
      <c r="G133" s="7" t="s">
        <v>1871</v>
      </c>
      <c r="H133" s="7">
        <v>1085287503</v>
      </c>
      <c r="I133" s="7">
        <v>5</v>
      </c>
      <c r="J133" s="7" t="s">
        <v>3041</v>
      </c>
      <c r="K133" s="8">
        <v>27515904</v>
      </c>
      <c r="L133" s="7" t="s">
        <v>1980</v>
      </c>
      <c r="M133" s="7" t="s">
        <v>2417</v>
      </c>
      <c r="N133" s="7" t="s">
        <v>3030</v>
      </c>
      <c r="O133" s="7"/>
      <c r="P133" s="13" t="s">
        <v>3042</v>
      </c>
    </row>
    <row r="134" spans="1:16" x14ac:dyDescent="0.25">
      <c r="A134" s="7" t="s">
        <v>1983</v>
      </c>
      <c r="B134" s="7" t="str">
        <f>"1835"</f>
        <v>1835</v>
      </c>
      <c r="C134" s="7">
        <v>2020</v>
      </c>
      <c r="D134" s="7" t="s">
        <v>1867</v>
      </c>
      <c r="E134" s="7" t="s">
        <v>1868</v>
      </c>
      <c r="F134" s="7" t="s">
        <v>4317</v>
      </c>
      <c r="G134" s="7" t="s">
        <v>1871</v>
      </c>
      <c r="H134" s="7">
        <v>1085247546</v>
      </c>
      <c r="I134" s="7">
        <v>1</v>
      </c>
      <c r="J134" s="7" t="s">
        <v>4318</v>
      </c>
      <c r="K134" s="8">
        <v>11121011</v>
      </c>
      <c r="L134" s="7" t="s">
        <v>3865</v>
      </c>
      <c r="M134" s="7" t="s">
        <v>2822</v>
      </c>
      <c r="N134" s="7" t="s">
        <v>1974</v>
      </c>
      <c r="O134" s="7"/>
      <c r="P134" s="13" t="s">
        <v>1993</v>
      </c>
    </row>
    <row r="135" spans="1:16" ht="30" x14ac:dyDescent="0.25">
      <c r="A135" s="7" t="s">
        <v>2019</v>
      </c>
      <c r="B135" s="7" t="str">
        <f>"0168"</f>
        <v>0168</v>
      </c>
      <c r="C135" s="7">
        <v>2020</v>
      </c>
      <c r="D135" s="7" t="s">
        <v>1867</v>
      </c>
      <c r="E135" s="7" t="s">
        <v>1868</v>
      </c>
      <c r="F135" s="7" t="s">
        <v>2020</v>
      </c>
      <c r="G135" s="7" t="s">
        <v>1871</v>
      </c>
      <c r="H135" s="7">
        <v>12994068</v>
      </c>
      <c r="I135" s="7">
        <v>9</v>
      </c>
      <c r="J135" s="7" t="s">
        <v>2021</v>
      </c>
      <c r="K135" s="8">
        <v>27515904</v>
      </c>
      <c r="L135" s="7" t="s">
        <v>1978</v>
      </c>
      <c r="M135" s="7" t="s">
        <v>2022</v>
      </c>
      <c r="N135" s="7" t="s">
        <v>1986</v>
      </c>
      <c r="O135" s="7"/>
      <c r="P135" s="13" t="s">
        <v>2023</v>
      </c>
    </row>
    <row r="136" spans="1:16" ht="30" x14ac:dyDescent="0.25">
      <c r="A136" s="7" t="s">
        <v>2019</v>
      </c>
      <c r="B136" s="7" t="str">
        <f>"0170"</f>
        <v>0170</v>
      </c>
      <c r="C136" s="7">
        <v>2020</v>
      </c>
      <c r="D136" s="7" t="s">
        <v>1867</v>
      </c>
      <c r="E136" s="7" t="s">
        <v>1868</v>
      </c>
      <c r="F136" s="7" t="s">
        <v>2027</v>
      </c>
      <c r="G136" s="7" t="s">
        <v>1871</v>
      </c>
      <c r="H136" s="7">
        <v>1085255982</v>
      </c>
      <c r="I136" s="7">
        <v>2</v>
      </c>
      <c r="J136" s="7" t="s">
        <v>2028</v>
      </c>
      <c r="K136" s="8">
        <v>27515904</v>
      </c>
      <c r="L136" s="7" t="s">
        <v>1978</v>
      </c>
      <c r="M136" s="7" t="s">
        <v>2022</v>
      </c>
      <c r="N136" s="7" t="s">
        <v>1986</v>
      </c>
      <c r="O136" s="7"/>
      <c r="P136" s="13" t="s">
        <v>2029</v>
      </c>
    </row>
    <row r="137" spans="1:16" ht="30" x14ac:dyDescent="0.25">
      <c r="A137" s="7" t="s">
        <v>2019</v>
      </c>
      <c r="B137" s="7" t="str">
        <f>"0367"</f>
        <v>0367</v>
      </c>
      <c r="C137" s="7">
        <v>2020</v>
      </c>
      <c r="D137" s="7" t="s">
        <v>1867</v>
      </c>
      <c r="E137" s="7" t="s">
        <v>1868</v>
      </c>
      <c r="F137" s="7" t="s">
        <v>2419</v>
      </c>
      <c r="G137" s="7" t="s">
        <v>1871</v>
      </c>
      <c r="H137" s="7">
        <v>98385717</v>
      </c>
      <c r="I137" s="7">
        <v>0</v>
      </c>
      <c r="J137" s="7" t="s">
        <v>2420</v>
      </c>
      <c r="K137" s="8">
        <v>27515904</v>
      </c>
      <c r="L137" s="7" t="s">
        <v>1898</v>
      </c>
      <c r="M137" s="7" t="s">
        <v>2421</v>
      </c>
      <c r="N137" s="7" t="s">
        <v>2197</v>
      </c>
      <c r="O137" s="7"/>
      <c r="P137" s="13" t="s">
        <v>2422</v>
      </c>
    </row>
    <row r="138" spans="1:16" ht="30" x14ac:dyDescent="0.25">
      <c r="A138" s="7" t="s">
        <v>2019</v>
      </c>
      <c r="B138" s="7" t="str">
        <f>"0373"</f>
        <v>0373</v>
      </c>
      <c r="C138" s="7">
        <v>2020</v>
      </c>
      <c r="D138" s="7" t="s">
        <v>1867</v>
      </c>
      <c r="E138" s="7" t="s">
        <v>1868</v>
      </c>
      <c r="F138" s="7" t="s">
        <v>2437</v>
      </c>
      <c r="G138" s="7" t="s">
        <v>1871</v>
      </c>
      <c r="H138" s="7">
        <v>1085307964</v>
      </c>
      <c r="I138" s="7">
        <v>4</v>
      </c>
      <c r="J138" s="7" t="s">
        <v>2438</v>
      </c>
      <c r="K138" s="8">
        <v>27515904</v>
      </c>
      <c r="L138" s="7" t="s">
        <v>1898</v>
      </c>
      <c r="M138" s="7" t="s">
        <v>2439</v>
      </c>
      <c r="N138" s="7" t="s">
        <v>2197</v>
      </c>
      <c r="O138" s="7"/>
      <c r="P138" s="13" t="s">
        <v>2440</v>
      </c>
    </row>
    <row r="139" spans="1:16" ht="30" x14ac:dyDescent="0.25">
      <c r="A139" s="7" t="s">
        <v>2019</v>
      </c>
      <c r="B139" s="7" t="str">
        <f>"0375"</f>
        <v>0375</v>
      </c>
      <c r="C139" s="7">
        <v>2020</v>
      </c>
      <c r="D139" s="7" t="s">
        <v>1867</v>
      </c>
      <c r="E139" s="7" t="s">
        <v>1868</v>
      </c>
      <c r="F139" s="7" t="s">
        <v>2444</v>
      </c>
      <c r="G139" s="7" t="s">
        <v>1871</v>
      </c>
      <c r="H139" s="7">
        <v>87028523</v>
      </c>
      <c r="I139" s="7">
        <v>9</v>
      </c>
      <c r="J139" s="7" t="s">
        <v>2445</v>
      </c>
      <c r="K139" s="8">
        <v>27515904</v>
      </c>
      <c r="L139" s="7" t="s">
        <v>1898</v>
      </c>
      <c r="M139" s="7" t="s">
        <v>2331</v>
      </c>
      <c r="N139" s="7" t="s">
        <v>2197</v>
      </c>
      <c r="O139" s="7"/>
      <c r="P139" s="13" t="s">
        <v>2446</v>
      </c>
    </row>
    <row r="140" spans="1:16" ht="30" x14ac:dyDescent="0.25">
      <c r="A140" s="7" t="s">
        <v>2019</v>
      </c>
      <c r="B140" s="7" t="str">
        <f>"0378"</f>
        <v>0378</v>
      </c>
      <c r="C140" s="7">
        <v>2020</v>
      </c>
      <c r="D140" s="7" t="s">
        <v>1867</v>
      </c>
      <c r="E140" s="7" t="s">
        <v>1868</v>
      </c>
      <c r="F140" s="7" t="s">
        <v>2450</v>
      </c>
      <c r="G140" s="7" t="s">
        <v>1871</v>
      </c>
      <c r="H140" s="7">
        <v>36950881</v>
      </c>
      <c r="I140" s="7">
        <v>9</v>
      </c>
      <c r="J140" s="7" t="s">
        <v>2451</v>
      </c>
      <c r="K140" s="8">
        <v>27515904</v>
      </c>
      <c r="L140" s="7" t="s">
        <v>1898</v>
      </c>
      <c r="M140" s="7" t="s">
        <v>2421</v>
      </c>
      <c r="N140" s="7" t="s">
        <v>2197</v>
      </c>
      <c r="O140" s="7"/>
      <c r="P140" s="13" t="s">
        <v>2452</v>
      </c>
    </row>
    <row r="141" spans="1:16" ht="30" x14ac:dyDescent="0.25">
      <c r="A141" s="7" t="s">
        <v>2019</v>
      </c>
      <c r="B141" s="7" t="str">
        <f>"0379"</f>
        <v>0379</v>
      </c>
      <c r="C141" s="7">
        <v>2020</v>
      </c>
      <c r="D141" s="7" t="s">
        <v>1867</v>
      </c>
      <c r="E141" s="7" t="s">
        <v>1868</v>
      </c>
      <c r="F141" s="7" t="s">
        <v>2453</v>
      </c>
      <c r="G141" s="7" t="s">
        <v>1871</v>
      </c>
      <c r="H141" s="7">
        <v>1085254641</v>
      </c>
      <c r="I141" s="7">
        <v>1</v>
      </c>
      <c r="J141" s="7" t="s">
        <v>2454</v>
      </c>
      <c r="K141" s="8">
        <v>27515904</v>
      </c>
      <c r="L141" s="7" t="s">
        <v>1898</v>
      </c>
      <c r="M141" s="7" t="s">
        <v>2455</v>
      </c>
      <c r="N141" s="7" t="s">
        <v>2197</v>
      </c>
      <c r="O141" s="7"/>
      <c r="P141" s="13" t="s">
        <v>2456</v>
      </c>
    </row>
    <row r="142" spans="1:16" ht="30" x14ac:dyDescent="0.25">
      <c r="A142" s="7" t="s">
        <v>2019</v>
      </c>
      <c r="B142" s="7" t="str">
        <f>"0377"</f>
        <v>0377</v>
      </c>
      <c r="C142" s="7">
        <v>2020</v>
      </c>
      <c r="D142" s="7" t="s">
        <v>1867</v>
      </c>
      <c r="E142" s="7" t="s">
        <v>1868</v>
      </c>
      <c r="F142" s="7" t="s">
        <v>2447</v>
      </c>
      <c r="G142" s="7" t="s">
        <v>1871</v>
      </c>
      <c r="H142" s="7">
        <v>1086298634</v>
      </c>
      <c r="I142" s="7">
        <v>2</v>
      </c>
      <c r="J142" s="7" t="s">
        <v>2448</v>
      </c>
      <c r="K142" s="8">
        <v>27515904</v>
      </c>
      <c r="L142" s="7" t="s">
        <v>1898</v>
      </c>
      <c r="M142" s="7" t="s">
        <v>2318</v>
      </c>
      <c r="N142" s="7" t="s">
        <v>2205</v>
      </c>
      <c r="O142" s="7"/>
      <c r="P142" s="13" t="s">
        <v>2449</v>
      </c>
    </row>
    <row r="143" spans="1:16" ht="30" x14ac:dyDescent="0.25">
      <c r="A143" s="7" t="s">
        <v>2019</v>
      </c>
      <c r="B143" s="7" t="str">
        <f>"0380"</f>
        <v>0380</v>
      </c>
      <c r="C143" s="7">
        <v>2020</v>
      </c>
      <c r="D143" s="7" t="s">
        <v>1867</v>
      </c>
      <c r="E143" s="7" t="s">
        <v>1868</v>
      </c>
      <c r="F143" s="7" t="s">
        <v>2457</v>
      </c>
      <c r="G143" s="7" t="s">
        <v>1871</v>
      </c>
      <c r="H143" s="7">
        <v>29661983</v>
      </c>
      <c r="I143" s="7">
        <v>6</v>
      </c>
      <c r="J143" s="7" t="s">
        <v>2458</v>
      </c>
      <c r="K143" s="8">
        <v>34400000</v>
      </c>
      <c r="L143" s="7" t="s">
        <v>1898</v>
      </c>
      <c r="M143" s="7" t="s">
        <v>2306</v>
      </c>
      <c r="N143" s="7" t="s">
        <v>2205</v>
      </c>
      <c r="O143" s="7"/>
      <c r="P143" s="13" t="s">
        <v>2459</v>
      </c>
    </row>
    <row r="144" spans="1:16" ht="30" x14ac:dyDescent="0.25">
      <c r="A144" s="7" t="s">
        <v>2019</v>
      </c>
      <c r="B144" s="7" t="str">
        <f>"0762"</f>
        <v>0762</v>
      </c>
      <c r="C144" s="7">
        <v>2020</v>
      </c>
      <c r="D144" s="7" t="s">
        <v>1867</v>
      </c>
      <c r="E144" s="7" t="s">
        <v>1868</v>
      </c>
      <c r="F144" s="7" t="s">
        <v>3032</v>
      </c>
      <c r="G144" s="7" t="s">
        <v>1871</v>
      </c>
      <c r="H144" s="7">
        <v>98412009</v>
      </c>
      <c r="I144" s="7">
        <v>0</v>
      </c>
      <c r="J144" s="7" t="s">
        <v>3033</v>
      </c>
      <c r="K144" s="8">
        <v>27515904</v>
      </c>
      <c r="L144" s="7" t="s">
        <v>1980</v>
      </c>
      <c r="M144" s="7" t="s">
        <v>3034</v>
      </c>
      <c r="N144" s="7" t="s">
        <v>2432</v>
      </c>
      <c r="O144" s="7"/>
      <c r="P144" s="13" t="s">
        <v>3035</v>
      </c>
    </row>
    <row r="145" spans="1:16" ht="30" x14ac:dyDescent="0.25">
      <c r="A145" s="7" t="s">
        <v>2019</v>
      </c>
      <c r="B145" s="7" t="str">
        <f>"0761"</f>
        <v>0761</v>
      </c>
      <c r="C145" s="7">
        <v>2020</v>
      </c>
      <c r="D145" s="7" t="s">
        <v>1867</v>
      </c>
      <c r="E145" s="7" t="s">
        <v>1868</v>
      </c>
      <c r="F145" s="7" t="s">
        <v>3028</v>
      </c>
      <c r="G145" s="7" t="s">
        <v>1871</v>
      </c>
      <c r="H145" s="7">
        <v>1085302501</v>
      </c>
      <c r="I145" s="7">
        <v>5</v>
      </c>
      <c r="J145" s="7" t="s">
        <v>3029</v>
      </c>
      <c r="K145" s="8">
        <v>27515904</v>
      </c>
      <c r="L145" s="7" t="s">
        <v>1980</v>
      </c>
      <c r="M145" s="7" t="s">
        <v>2284</v>
      </c>
      <c r="N145" s="7" t="s">
        <v>3030</v>
      </c>
      <c r="O145" s="7"/>
      <c r="P145" s="13" t="s">
        <v>3031</v>
      </c>
    </row>
    <row r="146" spans="1:16" ht="30" x14ac:dyDescent="0.25">
      <c r="A146" s="7" t="s">
        <v>2019</v>
      </c>
      <c r="B146" s="7" t="str">
        <f>"0897"</f>
        <v>0897</v>
      </c>
      <c r="C146" s="7">
        <v>2020</v>
      </c>
      <c r="D146" s="7" t="s">
        <v>1867</v>
      </c>
      <c r="E146" s="7" t="s">
        <v>1868</v>
      </c>
      <c r="F146" s="7" t="s">
        <v>3277</v>
      </c>
      <c r="G146" s="7" t="s">
        <v>1871</v>
      </c>
      <c r="H146" s="7">
        <v>1085301178</v>
      </c>
      <c r="I146" s="7">
        <v>4</v>
      </c>
      <c r="J146" s="7" t="s">
        <v>3278</v>
      </c>
      <c r="K146" s="8">
        <v>27515904</v>
      </c>
      <c r="L146" s="7" t="s">
        <v>2016</v>
      </c>
      <c r="M146" s="7" t="s">
        <v>2331</v>
      </c>
      <c r="N146" s="7" t="s">
        <v>3279</v>
      </c>
      <c r="O146" s="7"/>
      <c r="P146" s="13" t="s">
        <v>3280</v>
      </c>
    </row>
    <row r="147" spans="1:16" ht="30" x14ac:dyDescent="0.25">
      <c r="A147" s="7" t="s">
        <v>2019</v>
      </c>
      <c r="B147" s="7" t="str">
        <f>"0898"</f>
        <v>0898</v>
      </c>
      <c r="C147" s="7">
        <v>2020</v>
      </c>
      <c r="D147" s="7" t="s">
        <v>1867</v>
      </c>
      <c r="E147" s="7" t="s">
        <v>1868</v>
      </c>
      <c r="F147" s="7" t="s">
        <v>3281</v>
      </c>
      <c r="G147" s="7" t="s">
        <v>1871</v>
      </c>
      <c r="H147" s="7">
        <v>13011744</v>
      </c>
      <c r="I147" s="7">
        <v>6</v>
      </c>
      <c r="J147" s="7" t="s">
        <v>3282</v>
      </c>
      <c r="K147" s="8">
        <v>27515904</v>
      </c>
      <c r="L147" s="7" t="s">
        <v>2016</v>
      </c>
      <c r="M147" s="7" t="s">
        <v>2321</v>
      </c>
      <c r="N147" s="7" t="s">
        <v>3279</v>
      </c>
      <c r="O147" s="7" t="s">
        <v>3283</v>
      </c>
      <c r="P147" s="13" t="s">
        <v>3284</v>
      </c>
    </row>
    <row r="148" spans="1:16" ht="30" x14ac:dyDescent="0.25">
      <c r="A148" s="7" t="s">
        <v>2019</v>
      </c>
      <c r="B148" s="7" t="str">
        <f>"0952"</f>
        <v>0952</v>
      </c>
      <c r="C148" s="7">
        <v>2020</v>
      </c>
      <c r="D148" s="7" t="s">
        <v>1867</v>
      </c>
      <c r="E148" s="7" t="s">
        <v>1868</v>
      </c>
      <c r="F148" s="7" t="s">
        <v>3346</v>
      </c>
      <c r="G148" s="7" t="s">
        <v>1871</v>
      </c>
      <c r="H148" s="7">
        <v>8061725</v>
      </c>
      <c r="I148" s="7">
        <v>1</v>
      </c>
      <c r="J148" s="7" t="s">
        <v>3347</v>
      </c>
      <c r="K148" s="8">
        <v>27515904</v>
      </c>
      <c r="L148" s="7" t="s">
        <v>2257</v>
      </c>
      <c r="M148" s="7" t="s">
        <v>2246</v>
      </c>
      <c r="N148" s="7" t="s">
        <v>3337</v>
      </c>
      <c r="O148" s="7"/>
      <c r="P148" s="13" t="s">
        <v>3348</v>
      </c>
    </row>
    <row r="149" spans="1:16" ht="30" x14ac:dyDescent="0.25">
      <c r="A149" s="7" t="s">
        <v>2019</v>
      </c>
      <c r="B149" s="7" t="str">
        <f>"0953"</f>
        <v>0953</v>
      </c>
      <c r="C149" s="7">
        <v>2020</v>
      </c>
      <c r="D149" s="7" t="s">
        <v>1867</v>
      </c>
      <c r="E149" s="7" t="s">
        <v>1868</v>
      </c>
      <c r="F149" s="7" t="s">
        <v>3349</v>
      </c>
      <c r="G149" s="7" t="s">
        <v>1871</v>
      </c>
      <c r="H149" s="7">
        <v>12987845</v>
      </c>
      <c r="I149" s="7">
        <v>6</v>
      </c>
      <c r="J149" s="7" t="s">
        <v>3350</v>
      </c>
      <c r="K149" s="8">
        <v>27515904</v>
      </c>
      <c r="L149" s="7" t="s">
        <v>2257</v>
      </c>
      <c r="M149" s="7" t="s">
        <v>2246</v>
      </c>
      <c r="N149" s="7" t="s">
        <v>3337</v>
      </c>
      <c r="O149" s="7"/>
      <c r="P149" s="13" t="s">
        <v>3351</v>
      </c>
    </row>
    <row r="150" spans="1:16" ht="30" x14ac:dyDescent="0.25">
      <c r="A150" s="7" t="s">
        <v>2019</v>
      </c>
      <c r="B150" s="7" t="str">
        <f>"0958"</f>
        <v>0958</v>
      </c>
      <c r="C150" s="7">
        <v>2020</v>
      </c>
      <c r="D150" s="7" t="s">
        <v>1867</v>
      </c>
      <c r="E150" s="7" t="s">
        <v>1868</v>
      </c>
      <c r="F150" s="7" t="s">
        <v>3354</v>
      </c>
      <c r="G150" s="7" t="s">
        <v>1871</v>
      </c>
      <c r="H150" s="7">
        <v>1085280752</v>
      </c>
      <c r="I150" s="7">
        <v>0</v>
      </c>
      <c r="J150" s="7" t="s">
        <v>3355</v>
      </c>
      <c r="K150" s="8">
        <v>27515904</v>
      </c>
      <c r="L150" s="7" t="s">
        <v>2257</v>
      </c>
      <c r="M150" s="7" t="s">
        <v>2832</v>
      </c>
      <c r="N150" s="7" t="s">
        <v>3337</v>
      </c>
      <c r="O150" s="7"/>
      <c r="P150" s="13" t="s">
        <v>3356</v>
      </c>
    </row>
    <row r="151" spans="1:16" ht="30" x14ac:dyDescent="0.25">
      <c r="A151" s="7" t="s">
        <v>2019</v>
      </c>
      <c r="B151" s="7" t="str">
        <f>"0951"</f>
        <v>0951</v>
      </c>
      <c r="C151" s="7">
        <v>2020</v>
      </c>
      <c r="D151" s="7" t="s">
        <v>1867</v>
      </c>
      <c r="E151" s="7" t="s">
        <v>1868</v>
      </c>
      <c r="F151" s="7" t="s">
        <v>3342</v>
      </c>
      <c r="G151" s="7" t="s">
        <v>1871</v>
      </c>
      <c r="H151" s="7">
        <v>12745427</v>
      </c>
      <c r="I151" s="7">
        <v>2</v>
      </c>
      <c r="J151" s="7" t="s">
        <v>3343</v>
      </c>
      <c r="K151" s="8">
        <v>27515904</v>
      </c>
      <c r="L151" s="7" t="s">
        <v>2257</v>
      </c>
      <c r="M151" s="7" t="s">
        <v>3344</v>
      </c>
      <c r="N151" s="7" t="s">
        <v>3334</v>
      </c>
      <c r="O151" s="7"/>
      <c r="P151" s="13" t="s">
        <v>3345</v>
      </c>
    </row>
    <row r="152" spans="1:16" ht="30" x14ac:dyDescent="0.25">
      <c r="A152" s="7" t="s">
        <v>2019</v>
      </c>
      <c r="B152" s="7" t="str">
        <f>"1007"</f>
        <v>1007</v>
      </c>
      <c r="C152" s="7">
        <v>2020</v>
      </c>
      <c r="D152" s="7" t="s">
        <v>1867</v>
      </c>
      <c r="E152" s="7" t="s">
        <v>1868</v>
      </c>
      <c r="F152" s="7" t="s">
        <v>3451</v>
      </c>
      <c r="G152" s="7" t="s">
        <v>1871</v>
      </c>
      <c r="H152" s="7">
        <v>1085262897</v>
      </c>
      <c r="I152" s="7">
        <v>3</v>
      </c>
      <c r="J152" s="7" t="s">
        <v>3452</v>
      </c>
      <c r="K152" s="8">
        <v>27515904</v>
      </c>
      <c r="L152" s="7" t="s">
        <v>2298</v>
      </c>
      <c r="M152" s="7" t="s">
        <v>3379</v>
      </c>
      <c r="N152" s="7" t="s">
        <v>3435</v>
      </c>
      <c r="O152" s="7"/>
      <c r="P152" s="13" t="s">
        <v>3453</v>
      </c>
    </row>
    <row r="153" spans="1:16" ht="30" x14ac:dyDescent="0.25">
      <c r="A153" s="7" t="s">
        <v>2019</v>
      </c>
      <c r="B153" s="7" t="str">
        <f>"1008"</f>
        <v>1008</v>
      </c>
      <c r="C153" s="7">
        <v>2020</v>
      </c>
      <c r="D153" s="7" t="s">
        <v>1867</v>
      </c>
      <c r="E153" s="7" t="s">
        <v>1868</v>
      </c>
      <c r="F153" s="7" t="s">
        <v>3454</v>
      </c>
      <c r="G153" s="7" t="s">
        <v>1871</v>
      </c>
      <c r="H153" s="7">
        <v>1085246422</v>
      </c>
      <c r="I153" s="7">
        <v>1</v>
      </c>
      <c r="J153" s="7" t="s">
        <v>3455</v>
      </c>
      <c r="K153" s="8">
        <v>27515904</v>
      </c>
      <c r="L153" s="7" t="s">
        <v>2298</v>
      </c>
      <c r="M153" s="7" t="s">
        <v>3344</v>
      </c>
      <c r="N153" s="7" t="s">
        <v>3435</v>
      </c>
      <c r="O153" s="7"/>
      <c r="P153" s="13" t="s">
        <v>3456</v>
      </c>
    </row>
    <row r="154" spans="1:16" ht="30" x14ac:dyDescent="0.25">
      <c r="A154" s="7" t="s">
        <v>2019</v>
      </c>
      <c r="B154" s="7" t="str">
        <f>"1109"</f>
        <v>1109</v>
      </c>
      <c r="C154" s="7">
        <v>2020</v>
      </c>
      <c r="D154" s="7" t="s">
        <v>1867</v>
      </c>
      <c r="E154" s="7" t="s">
        <v>1868</v>
      </c>
      <c r="F154" s="7" t="s">
        <v>3580</v>
      </c>
      <c r="G154" s="7" t="s">
        <v>1871</v>
      </c>
      <c r="H154" s="7">
        <v>15812150</v>
      </c>
      <c r="I154" s="7">
        <v>6</v>
      </c>
      <c r="J154" s="7" t="s">
        <v>3581</v>
      </c>
      <c r="K154" s="8">
        <v>27515904</v>
      </c>
      <c r="L154" s="7" t="s">
        <v>2235</v>
      </c>
      <c r="M154" s="7" t="s">
        <v>2439</v>
      </c>
      <c r="N154" s="7" t="s">
        <v>3576</v>
      </c>
      <c r="O154" s="7"/>
      <c r="P154" s="13" t="s">
        <v>3582</v>
      </c>
    </row>
    <row r="155" spans="1:16" ht="30" x14ac:dyDescent="0.25">
      <c r="A155" s="7" t="s">
        <v>2019</v>
      </c>
      <c r="B155" s="7" t="str">
        <f>"1111"</f>
        <v>1111</v>
      </c>
      <c r="C155" s="7">
        <v>2020</v>
      </c>
      <c r="D155" s="7" t="s">
        <v>1867</v>
      </c>
      <c r="E155" s="7" t="s">
        <v>1868</v>
      </c>
      <c r="F155" s="7" t="s">
        <v>3587</v>
      </c>
      <c r="G155" s="7" t="s">
        <v>1871</v>
      </c>
      <c r="H155" s="7">
        <v>1085322572</v>
      </c>
      <c r="I155" s="7">
        <v>3</v>
      </c>
      <c r="J155" s="7" t="s">
        <v>3588</v>
      </c>
      <c r="K155" s="8">
        <v>27515904</v>
      </c>
      <c r="L155" s="7" t="s">
        <v>2235</v>
      </c>
      <c r="M155" s="7" t="s">
        <v>2455</v>
      </c>
      <c r="N155" s="7" t="s">
        <v>3576</v>
      </c>
      <c r="O155" s="7"/>
      <c r="P155" s="13" t="s">
        <v>3589</v>
      </c>
    </row>
    <row r="156" spans="1:16" ht="30" x14ac:dyDescent="0.25">
      <c r="A156" s="7" t="s">
        <v>2019</v>
      </c>
      <c r="B156" s="7" t="str">
        <f>"1112"</f>
        <v>1112</v>
      </c>
      <c r="C156" s="7">
        <v>2020</v>
      </c>
      <c r="D156" s="7" t="s">
        <v>1867</v>
      </c>
      <c r="E156" s="7" t="s">
        <v>1868</v>
      </c>
      <c r="F156" s="7" t="s">
        <v>3590</v>
      </c>
      <c r="G156" s="7" t="s">
        <v>1871</v>
      </c>
      <c r="H156" s="7">
        <v>12988886</v>
      </c>
      <c r="I156" s="7">
        <v>2</v>
      </c>
      <c r="J156" s="7" t="s">
        <v>3591</v>
      </c>
      <c r="K156" s="8">
        <v>27515904</v>
      </c>
      <c r="L156" s="7" t="s">
        <v>2235</v>
      </c>
      <c r="M156" s="7" t="s">
        <v>3362</v>
      </c>
      <c r="N156" s="7" t="s">
        <v>3576</v>
      </c>
      <c r="O156" s="7"/>
      <c r="P156" s="13" t="s">
        <v>3592</v>
      </c>
    </row>
    <row r="157" spans="1:16" ht="30" x14ac:dyDescent="0.25">
      <c r="A157" s="7" t="s">
        <v>2019</v>
      </c>
      <c r="B157" s="7" t="str">
        <f>"1110"</f>
        <v>1110</v>
      </c>
      <c r="C157" s="7">
        <v>2020</v>
      </c>
      <c r="D157" s="7" t="s">
        <v>1867</v>
      </c>
      <c r="E157" s="7" t="s">
        <v>1868</v>
      </c>
      <c r="F157" s="7" t="s">
        <v>3583</v>
      </c>
      <c r="G157" s="7" t="s">
        <v>1871</v>
      </c>
      <c r="H157" s="7">
        <v>11309818</v>
      </c>
      <c r="I157" s="7">
        <v>6</v>
      </c>
      <c r="J157" s="7" t="s">
        <v>3584</v>
      </c>
      <c r="K157" s="8">
        <v>27515904</v>
      </c>
      <c r="L157" s="7" t="s">
        <v>2235</v>
      </c>
      <c r="M157" s="7" t="s">
        <v>3044</v>
      </c>
      <c r="N157" s="7" t="s">
        <v>3585</v>
      </c>
      <c r="O157" s="7"/>
      <c r="P157" s="13" t="s">
        <v>3586</v>
      </c>
    </row>
    <row r="158" spans="1:16" ht="30" x14ac:dyDescent="0.25">
      <c r="A158" s="7" t="s">
        <v>2019</v>
      </c>
      <c r="B158" s="7" t="str">
        <f>"1157"</f>
        <v>1157</v>
      </c>
      <c r="C158" s="7">
        <v>2020</v>
      </c>
      <c r="D158" s="7" t="s">
        <v>1867</v>
      </c>
      <c r="E158" s="7" t="s">
        <v>1868</v>
      </c>
      <c r="F158" s="7" t="s">
        <v>3676</v>
      </c>
      <c r="G158" s="7" t="s">
        <v>1871</v>
      </c>
      <c r="H158" s="7">
        <v>18127240</v>
      </c>
      <c r="I158" s="7">
        <v>3</v>
      </c>
      <c r="J158" s="7" t="s">
        <v>3677</v>
      </c>
      <c r="K158" s="8">
        <v>32000000</v>
      </c>
      <c r="L158" s="7" t="s">
        <v>2306</v>
      </c>
      <c r="M158" s="7" t="s">
        <v>3388</v>
      </c>
      <c r="N158" s="7" t="s">
        <v>2994</v>
      </c>
      <c r="O158" s="7"/>
      <c r="P158" s="13" t="s">
        <v>3678</v>
      </c>
    </row>
    <row r="159" spans="1:16" ht="30" x14ac:dyDescent="0.25">
      <c r="A159" s="7" t="s">
        <v>2019</v>
      </c>
      <c r="B159" s="7" t="str">
        <f>"1180"</f>
        <v>1180</v>
      </c>
      <c r="C159" s="7">
        <v>2020</v>
      </c>
      <c r="D159" s="7" t="s">
        <v>1867</v>
      </c>
      <c r="E159" s="7" t="s">
        <v>1868</v>
      </c>
      <c r="F159" s="7" t="s">
        <v>3682</v>
      </c>
      <c r="G159" s="7" t="s">
        <v>1871</v>
      </c>
      <c r="H159" s="7">
        <v>1085928192</v>
      </c>
      <c r="I159" s="7">
        <v>1</v>
      </c>
      <c r="J159" s="7" t="s">
        <v>3683</v>
      </c>
      <c r="K159" s="8">
        <v>27515904</v>
      </c>
      <c r="L159" s="7" t="s">
        <v>2204</v>
      </c>
      <c r="M159" s="7" t="s">
        <v>3684</v>
      </c>
      <c r="N159" s="7" t="s">
        <v>3658</v>
      </c>
      <c r="O159" s="7"/>
      <c r="P159" s="13" t="s">
        <v>3685</v>
      </c>
    </row>
    <row r="160" spans="1:16" x14ac:dyDescent="0.25">
      <c r="A160" s="7" t="s">
        <v>2019</v>
      </c>
      <c r="B160" s="7" t="str">
        <f>"1560"</f>
        <v>1560</v>
      </c>
      <c r="C160" s="7">
        <v>2020</v>
      </c>
      <c r="D160" s="7" t="s">
        <v>1867</v>
      </c>
      <c r="E160" s="7" t="s">
        <v>1868</v>
      </c>
      <c r="F160" s="7" t="s">
        <v>4132</v>
      </c>
      <c r="G160" s="7" t="s">
        <v>1871</v>
      </c>
      <c r="H160" s="7">
        <v>59760213</v>
      </c>
      <c r="I160" s="7">
        <v>7</v>
      </c>
      <c r="J160" s="7" t="s">
        <v>4133</v>
      </c>
      <c r="K160" s="8">
        <v>13757952</v>
      </c>
      <c r="L160" s="7" t="s">
        <v>2207</v>
      </c>
      <c r="M160" s="7" t="s">
        <v>3963</v>
      </c>
      <c r="N160" s="7" t="s">
        <v>4086</v>
      </c>
      <c r="O160" s="7"/>
      <c r="P160" s="13" t="s">
        <v>1993</v>
      </c>
    </row>
    <row r="161" spans="1:16" ht="45" x14ac:dyDescent="0.25">
      <c r="A161" s="7" t="s">
        <v>2019</v>
      </c>
      <c r="B161" s="7" t="str">
        <f>"1615"</f>
        <v>1615</v>
      </c>
      <c r="C161" s="7">
        <v>2020</v>
      </c>
      <c r="D161" s="7" t="s">
        <v>1867</v>
      </c>
      <c r="E161" s="7" t="s">
        <v>1868</v>
      </c>
      <c r="F161" s="7" t="s">
        <v>4232</v>
      </c>
      <c r="G161" s="7" t="s">
        <v>1871</v>
      </c>
      <c r="H161" s="7">
        <v>19225642</v>
      </c>
      <c r="I161" s="7">
        <v>4</v>
      </c>
      <c r="J161" s="7" t="s">
        <v>4233</v>
      </c>
      <c r="K161" s="8">
        <v>13757952</v>
      </c>
      <c r="L161" s="7" t="s">
        <v>3986</v>
      </c>
      <c r="M161" s="7" t="s">
        <v>3770</v>
      </c>
      <c r="N161" s="7" t="s">
        <v>4221</v>
      </c>
      <c r="O161" s="7"/>
      <c r="P161" s="13" t="s">
        <v>4234</v>
      </c>
    </row>
    <row r="162" spans="1:16" ht="30" x14ac:dyDescent="0.25">
      <c r="A162" s="7" t="s">
        <v>2019</v>
      </c>
      <c r="B162" s="7" t="str">
        <f>"0169"</f>
        <v>0169</v>
      </c>
      <c r="C162" s="7">
        <v>2020</v>
      </c>
      <c r="D162" s="7" t="s">
        <v>1867</v>
      </c>
      <c r="E162" s="7" t="s">
        <v>1868</v>
      </c>
      <c r="F162" s="7" t="s">
        <v>2024</v>
      </c>
      <c r="G162" s="7" t="s">
        <v>1871</v>
      </c>
      <c r="H162" s="7">
        <v>1085294726</v>
      </c>
      <c r="I162" s="7">
        <v>1</v>
      </c>
      <c r="J162" s="7" t="s">
        <v>2025</v>
      </c>
      <c r="K162" s="8">
        <v>40242010</v>
      </c>
      <c r="L162" s="7" t="s">
        <v>1978</v>
      </c>
      <c r="M162" s="7" t="s">
        <v>2022</v>
      </c>
      <c r="N162" s="7" t="s">
        <v>1974</v>
      </c>
      <c r="O162" s="7"/>
      <c r="P162" s="13" t="s">
        <v>2026</v>
      </c>
    </row>
    <row r="163" spans="1:16" ht="30" x14ac:dyDescent="0.25">
      <c r="A163" s="7" t="s">
        <v>2119</v>
      </c>
      <c r="B163" s="7" t="str">
        <f>"0218"</f>
        <v>0218</v>
      </c>
      <c r="C163" s="7">
        <v>2020</v>
      </c>
      <c r="D163" s="7" t="s">
        <v>1867</v>
      </c>
      <c r="E163" s="7" t="s">
        <v>1868</v>
      </c>
      <c r="F163" s="7" t="s">
        <v>2120</v>
      </c>
      <c r="G163" s="7" t="s">
        <v>1871</v>
      </c>
      <c r="H163" s="7">
        <v>1085319084</v>
      </c>
      <c r="I163" s="7">
        <v>1</v>
      </c>
      <c r="J163" s="7" t="s">
        <v>2121</v>
      </c>
      <c r="K163" s="8">
        <v>27515904</v>
      </c>
      <c r="L163" s="7" t="s">
        <v>1992</v>
      </c>
      <c r="M163" s="7" t="s">
        <v>2122</v>
      </c>
      <c r="N163" s="7" t="s">
        <v>2117</v>
      </c>
      <c r="O163" s="7"/>
      <c r="P163" s="13" t="s">
        <v>2123</v>
      </c>
    </row>
    <row r="164" spans="1:16" ht="30" x14ac:dyDescent="0.25">
      <c r="A164" s="7" t="s">
        <v>2119</v>
      </c>
      <c r="B164" s="7" t="str">
        <f>"0607"</f>
        <v>0607</v>
      </c>
      <c r="C164" s="7">
        <v>2020</v>
      </c>
      <c r="D164" s="7" t="s">
        <v>1867</v>
      </c>
      <c r="E164" s="7" t="s">
        <v>1989</v>
      </c>
      <c r="F164" s="7" t="s">
        <v>2824</v>
      </c>
      <c r="G164" s="7" t="s">
        <v>1891</v>
      </c>
      <c r="H164" s="7">
        <v>1082657532</v>
      </c>
      <c r="I164" s="7">
        <v>6</v>
      </c>
      <c r="J164" s="7" t="s">
        <v>2825</v>
      </c>
      <c r="K164" s="8">
        <v>27515904</v>
      </c>
      <c r="L164" s="7" t="s">
        <v>1898</v>
      </c>
      <c r="M164" s="7" t="s">
        <v>2331</v>
      </c>
      <c r="N164" s="7" t="s">
        <v>2167</v>
      </c>
      <c r="O164" s="7"/>
      <c r="P164" s="13" t="s">
        <v>2826</v>
      </c>
    </row>
    <row r="165" spans="1:16" ht="30" x14ac:dyDescent="0.25">
      <c r="A165" s="7" t="s">
        <v>2119</v>
      </c>
      <c r="B165" s="7" t="str">
        <f>"0429"</f>
        <v>0429</v>
      </c>
      <c r="C165" s="7">
        <v>2020</v>
      </c>
      <c r="D165" s="7" t="s">
        <v>1867</v>
      </c>
      <c r="E165" s="7" t="s">
        <v>1868</v>
      </c>
      <c r="F165" s="7" t="s">
        <v>2540</v>
      </c>
      <c r="G165" s="7" t="s">
        <v>1871</v>
      </c>
      <c r="H165" s="7">
        <v>37087342</v>
      </c>
      <c r="I165" s="7">
        <v>2</v>
      </c>
      <c r="J165" s="7" t="s">
        <v>2541</v>
      </c>
      <c r="K165" s="8">
        <v>27515904</v>
      </c>
      <c r="L165" s="7" t="s">
        <v>1898</v>
      </c>
      <c r="M165" s="7" t="s">
        <v>1908</v>
      </c>
      <c r="N165" s="7" t="s">
        <v>2197</v>
      </c>
      <c r="O165" s="7"/>
      <c r="P165" s="13" t="s">
        <v>2542</v>
      </c>
    </row>
    <row r="166" spans="1:16" ht="30" x14ac:dyDescent="0.25">
      <c r="A166" s="7" t="s">
        <v>2119</v>
      </c>
      <c r="B166" s="7" t="str">
        <f>"0602"</f>
        <v>0602</v>
      </c>
      <c r="C166" s="7">
        <v>2020</v>
      </c>
      <c r="D166" s="7" t="s">
        <v>1867</v>
      </c>
      <c r="E166" s="7" t="s">
        <v>1868</v>
      </c>
      <c r="F166" s="7" t="s">
        <v>2811</v>
      </c>
      <c r="G166" s="7" t="s">
        <v>1871</v>
      </c>
      <c r="H166" s="7">
        <v>1080901387</v>
      </c>
      <c r="I166" s="7">
        <v>3</v>
      </c>
      <c r="J166" s="7" t="s">
        <v>2812</v>
      </c>
      <c r="K166" s="8">
        <v>27515904</v>
      </c>
      <c r="L166" s="7" t="s">
        <v>1898</v>
      </c>
      <c r="M166" s="7" t="s">
        <v>2302</v>
      </c>
      <c r="N166" s="7" t="s">
        <v>2197</v>
      </c>
      <c r="O166" s="7"/>
      <c r="P166" s="13" t="s">
        <v>2813</v>
      </c>
    </row>
    <row r="167" spans="1:16" ht="30" x14ac:dyDescent="0.25">
      <c r="A167" s="7" t="s">
        <v>2119</v>
      </c>
      <c r="B167" s="7" t="str">
        <f>"0603"</f>
        <v>0603</v>
      </c>
      <c r="C167" s="7">
        <v>2020</v>
      </c>
      <c r="D167" s="7" t="s">
        <v>1867</v>
      </c>
      <c r="E167" s="7" t="s">
        <v>1868</v>
      </c>
      <c r="F167" s="7" t="s">
        <v>2814</v>
      </c>
      <c r="G167" s="7" t="s">
        <v>1871</v>
      </c>
      <c r="H167" s="7">
        <v>1113626356</v>
      </c>
      <c r="I167" s="7">
        <v>5</v>
      </c>
      <c r="J167" s="7" t="s">
        <v>2815</v>
      </c>
      <c r="K167" s="8">
        <v>27515904</v>
      </c>
      <c r="L167" s="7" t="s">
        <v>1898</v>
      </c>
      <c r="M167" s="7" t="s">
        <v>2235</v>
      </c>
      <c r="N167" s="7" t="s">
        <v>2197</v>
      </c>
      <c r="O167" s="7"/>
      <c r="P167" s="13" t="s">
        <v>2816</v>
      </c>
    </row>
    <row r="168" spans="1:16" ht="30" x14ac:dyDescent="0.25">
      <c r="A168" s="7" t="s">
        <v>2119</v>
      </c>
      <c r="B168" s="7" t="str">
        <f>"0604"</f>
        <v>0604</v>
      </c>
      <c r="C168" s="7">
        <v>2020</v>
      </c>
      <c r="D168" s="7" t="s">
        <v>1867</v>
      </c>
      <c r="E168" s="7" t="s">
        <v>1868</v>
      </c>
      <c r="F168" s="7" t="s">
        <v>2817</v>
      </c>
      <c r="G168" s="7" t="s">
        <v>1871</v>
      </c>
      <c r="H168" s="7">
        <v>75107632</v>
      </c>
      <c r="I168" s="7">
        <v>9</v>
      </c>
      <c r="J168" s="7" t="s">
        <v>2818</v>
      </c>
      <c r="K168" s="8">
        <v>27515904</v>
      </c>
      <c r="L168" s="7" t="s">
        <v>1898</v>
      </c>
      <c r="M168" s="7" t="s">
        <v>2246</v>
      </c>
      <c r="N168" s="7" t="s">
        <v>2197</v>
      </c>
      <c r="O168" s="7"/>
      <c r="P168" s="13" t="s">
        <v>2819</v>
      </c>
    </row>
    <row r="169" spans="1:16" ht="30" x14ac:dyDescent="0.25">
      <c r="A169" s="7" t="s">
        <v>2119</v>
      </c>
      <c r="B169" s="7" t="str">
        <f>"0632"</f>
        <v>0632</v>
      </c>
      <c r="C169" s="7">
        <v>2020</v>
      </c>
      <c r="D169" s="7" t="s">
        <v>1867</v>
      </c>
      <c r="E169" s="7" t="s">
        <v>1875</v>
      </c>
      <c r="F169" s="7" t="s">
        <v>2861</v>
      </c>
      <c r="G169" s="7" t="s">
        <v>1871</v>
      </c>
      <c r="H169" s="7">
        <v>1085285560</v>
      </c>
      <c r="I169" s="7">
        <v>6</v>
      </c>
      <c r="J169" s="7" t="s">
        <v>2862</v>
      </c>
      <c r="K169" s="8">
        <v>21200000</v>
      </c>
      <c r="L169" s="7" t="s">
        <v>1898</v>
      </c>
      <c r="M169" s="7" t="s">
        <v>2107</v>
      </c>
      <c r="N169" s="7" t="s">
        <v>2197</v>
      </c>
      <c r="O169" s="7"/>
      <c r="P169" s="13" t="s">
        <v>2863</v>
      </c>
    </row>
    <row r="170" spans="1:16" ht="30" x14ac:dyDescent="0.25">
      <c r="A170" s="7" t="s">
        <v>2119</v>
      </c>
      <c r="B170" s="7" t="str">
        <f>"0635"</f>
        <v>0635</v>
      </c>
      <c r="C170" s="7">
        <v>2020</v>
      </c>
      <c r="D170" s="7" t="s">
        <v>1867</v>
      </c>
      <c r="E170" s="7" t="s">
        <v>1989</v>
      </c>
      <c r="F170" s="7" t="s">
        <v>2870</v>
      </c>
      <c r="G170" s="7" t="s">
        <v>1871</v>
      </c>
      <c r="H170" s="7">
        <v>1085278070</v>
      </c>
      <c r="I170" s="7">
        <v>1</v>
      </c>
      <c r="J170" s="7" t="s">
        <v>2871</v>
      </c>
      <c r="K170" s="8">
        <v>27515904</v>
      </c>
      <c r="L170" s="7" t="s">
        <v>1898</v>
      </c>
      <c r="M170" s="7" t="s">
        <v>2306</v>
      </c>
      <c r="N170" s="7" t="s">
        <v>2197</v>
      </c>
      <c r="O170" s="7"/>
      <c r="P170" s="13" t="s">
        <v>2872</v>
      </c>
    </row>
    <row r="171" spans="1:16" ht="30" x14ac:dyDescent="0.25">
      <c r="A171" s="7" t="s">
        <v>2119</v>
      </c>
      <c r="B171" s="7" t="str">
        <f>"0278"</f>
        <v>0278</v>
      </c>
      <c r="C171" s="7">
        <v>2020</v>
      </c>
      <c r="D171" s="7" t="s">
        <v>1867</v>
      </c>
      <c r="E171" s="7" t="s">
        <v>1868</v>
      </c>
      <c r="F171" s="7" t="s">
        <v>2202</v>
      </c>
      <c r="G171" s="7" t="s">
        <v>1871</v>
      </c>
      <c r="H171" s="7">
        <v>19209391</v>
      </c>
      <c r="I171" s="7">
        <v>3</v>
      </c>
      <c r="J171" s="7" t="s">
        <v>2203</v>
      </c>
      <c r="K171" s="8">
        <v>27515904</v>
      </c>
      <c r="L171" s="7" t="s">
        <v>1898</v>
      </c>
      <c r="M171" s="7" t="s">
        <v>2204</v>
      </c>
      <c r="N171" s="7" t="s">
        <v>2205</v>
      </c>
      <c r="O171" s="7"/>
      <c r="P171" s="13" t="s">
        <v>2206</v>
      </c>
    </row>
    <row r="172" spans="1:16" ht="30" x14ac:dyDescent="0.25">
      <c r="A172" s="7" t="s">
        <v>2119</v>
      </c>
      <c r="B172" s="7" t="str">
        <f>"0608"</f>
        <v>0608</v>
      </c>
      <c r="C172" s="7">
        <v>2020</v>
      </c>
      <c r="D172" s="7" t="s">
        <v>1867</v>
      </c>
      <c r="E172" s="7" t="s">
        <v>1868</v>
      </c>
      <c r="F172" s="7" t="s">
        <v>2827</v>
      </c>
      <c r="G172" s="7" t="s">
        <v>1871</v>
      </c>
      <c r="H172" s="7">
        <v>1085325222</v>
      </c>
      <c r="I172" s="7">
        <v>4</v>
      </c>
      <c r="J172" s="7" t="s">
        <v>2828</v>
      </c>
      <c r="K172" s="8">
        <v>27515904</v>
      </c>
      <c r="L172" s="7" t="s">
        <v>1898</v>
      </c>
      <c r="M172" s="7" t="s">
        <v>2417</v>
      </c>
      <c r="N172" s="7" t="s">
        <v>2205</v>
      </c>
      <c r="O172" s="7"/>
      <c r="P172" s="13" t="s">
        <v>2829</v>
      </c>
    </row>
    <row r="173" spans="1:16" ht="30" x14ac:dyDescent="0.25">
      <c r="A173" s="7" t="s">
        <v>2119</v>
      </c>
      <c r="B173" s="7" t="str">
        <f>"0633"</f>
        <v>0633</v>
      </c>
      <c r="C173" s="7">
        <v>2020</v>
      </c>
      <c r="D173" s="7" t="s">
        <v>1867</v>
      </c>
      <c r="E173" s="7" t="s">
        <v>1868</v>
      </c>
      <c r="F173" s="7" t="s">
        <v>2864</v>
      </c>
      <c r="G173" s="7" t="s">
        <v>1871</v>
      </c>
      <c r="H173" s="7">
        <v>87490710</v>
      </c>
      <c r="I173" s="7">
        <v>9</v>
      </c>
      <c r="J173" s="7" t="s">
        <v>2865</v>
      </c>
      <c r="K173" s="8">
        <v>27515904</v>
      </c>
      <c r="L173" s="7" t="s">
        <v>1898</v>
      </c>
      <c r="M173" s="7" t="s">
        <v>2318</v>
      </c>
      <c r="N173" s="7" t="s">
        <v>2205</v>
      </c>
      <c r="O173" s="7"/>
      <c r="P173" s="13" t="s">
        <v>2866</v>
      </c>
    </row>
    <row r="174" spans="1:16" ht="30" x14ac:dyDescent="0.25">
      <c r="A174" s="7" t="s">
        <v>2119</v>
      </c>
      <c r="B174" s="7" t="str">
        <f>"0634"</f>
        <v>0634</v>
      </c>
      <c r="C174" s="7">
        <v>2020</v>
      </c>
      <c r="D174" s="7" t="s">
        <v>1867</v>
      </c>
      <c r="E174" s="7" t="s">
        <v>1868</v>
      </c>
      <c r="F174" s="7" t="s">
        <v>2867</v>
      </c>
      <c r="G174" s="7" t="s">
        <v>1871</v>
      </c>
      <c r="H174" s="7">
        <v>87066828</v>
      </c>
      <c r="I174" s="7">
        <v>1</v>
      </c>
      <c r="J174" s="7" t="s">
        <v>2868</v>
      </c>
      <c r="K174" s="8">
        <v>27515904</v>
      </c>
      <c r="L174" s="7" t="s">
        <v>1898</v>
      </c>
      <c r="M174" s="7" t="s">
        <v>2318</v>
      </c>
      <c r="N174" s="7" t="s">
        <v>2205</v>
      </c>
      <c r="O174" s="7"/>
      <c r="P174" s="13" t="s">
        <v>2869</v>
      </c>
    </row>
    <row r="175" spans="1:16" ht="30" x14ac:dyDescent="0.25">
      <c r="A175" s="7" t="s">
        <v>2119</v>
      </c>
      <c r="B175" s="7" t="str">
        <f>"0775"</f>
        <v>0775</v>
      </c>
      <c r="C175" s="7">
        <v>2020</v>
      </c>
      <c r="D175" s="7" t="s">
        <v>1867</v>
      </c>
      <c r="E175" s="7" t="s">
        <v>1875</v>
      </c>
      <c r="F175" s="7" t="s">
        <v>3061</v>
      </c>
      <c r="G175" s="7" t="s">
        <v>1871</v>
      </c>
      <c r="H175" s="7">
        <v>1144097813</v>
      </c>
      <c r="I175" s="7">
        <v>1</v>
      </c>
      <c r="J175" s="7" t="s">
        <v>3062</v>
      </c>
      <c r="K175" s="8">
        <v>21200000</v>
      </c>
      <c r="L175" s="7" t="s">
        <v>1982</v>
      </c>
      <c r="M175" s="7" t="s">
        <v>2321</v>
      </c>
      <c r="N175" s="7" t="s">
        <v>2822</v>
      </c>
      <c r="O175" s="7"/>
      <c r="P175" s="13" t="s">
        <v>3063</v>
      </c>
    </row>
    <row r="176" spans="1:16" ht="30" x14ac:dyDescent="0.25">
      <c r="A176" s="7" t="s">
        <v>2119</v>
      </c>
      <c r="B176" s="7" t="str">
        <f>"0784"</f>
        <v>0784</v>
      </c>
      <c r="C176" s="7">
        <v>2020</v>
      </c>
      <c r="D176" s="7" t="s">
        <v>1867</v>
      </c>
      <c r="E176" s="7" t="s">
        <v>1875</v>
      </c>
      <c r="F176" s="7" t="s">
        <v>3082</v>
      </c>
      <c r="G176" s="7" t="s">
        <v>1871</v>
      </c>
      <c r="H176" s="7">
        <v>1085322557</v>
      </c>
      <c r="I176" s="7">
        <v>2</v>
      </c>
      <c r="J176" s="7" t="s">
        <v>3083</v>
      </c>
      <c r="K176" s="8">
        <v>10800000</v>
      </c>
      <c r="L176" s="7" t="s">
        <v>1982</v>
      </c>
      <c r="M176" s="7" t="s">
        <v>2318</v>
      </c>
      <c r="N176" s="7" t="s">
        <v>2696</v>
      </c>
      <c r="O176" s="7"/>
      <c r="P176" s="13" t="s">
        <v>3084</v>
      </c>
    </row>
    <row r="177" spans="1:16" ht="30" x14ac:dyDescent="0.25">
      <c r="A177" s="7" t="s">
        <v>2119</v>
      </c>
      <c r="B177" s="7" t="str">
        <f>"0929"</f>
        <v>0929</v>
      </c>
      <c r="C177" s="7">
        <v>2020</v>
      </c>
      <c r="D177" s="7" t="s">
        <v>1867</v>
      </c>
      <c r="E177" s="7" t="s">
        <v>1868</v>
      </c>
      <c r="F177" s="7" t="s">
        <v>3328</v>
      </c>
      <c r="G177" s="7" t="s">
        <v>1871</v>
      </c>
      <c r="H177" s="7">
        <v>1085254579</v>
      </c>
      <c r="I177" s="7">
        <v>2</v>
      </c>
      <c r="J177" s="7" t="s">
        <v>3329</v>
      </c>
      <c r="K177" s="8">
        <v>27515904</v>
      </c>
      <c r="L177" s="7" t="s">
        <v>2116</v>
      </c>
      <c r="M177" s="7" t="s">
        <v>2113</v>
      </c>
      <c r="N177" s="7" t="s">
        <v>3330</v>
      </c>
      <c r="O177" s="7"/>
      <c r="P177" s="13" t="s">
        <v>3331</v>
      </c>
    </row>
    <row r="178" spans="1:16" ht="45" x14ac:dyDescent="0.25">
      <c r="A178" s="7" t="s">
        <v>2119</v>
      </c>
      <c r="B178" s="7" t="str">
        <f>"1411"</f>
        <v>1411</v>
      </c>
      <c r="C178" s="7">
        <v>2020</v>
      </c>
      <c r="D178" s="7" t="s">
        <v>1867</v>
      </c>
      <c r="E178" s="7" t="s">
        <v>1868</v>
      </c>
      <c r="F178" s="7" t="s">
        <v>3250</v>
      </c>
      <c r="G178" s="7" t="s">
        <v>1871</v>
      </c>
      <c r="H178" s="7">
        <v>29675851</v>
      </c>
      <c r="I178" s="7">
        <v>3</v>
      </c>
      <c r="J178" s="7" t="s">
        <v>3887</v>
      </c>
      <c r="K178" s="8">
        <v>13757952</v>
      </c>
      <c r="L178" s="7" t="s">
        <v>3467</v>
      </c>
      <c r="M178" s="7" t="s">
        <v>3888</v>
      </c>
      <c r="N178" s="7" t="s">
        <v>3334</v>
      </c>
      <c r="O178" s="7"/>
      <c r="P178" s="13" t="s">
        <v>3889</v>
      </c>
    </row>
    <row r="179" spans="1:16" ht="45" x14ac:dyDescent="0.25">
      <c r="A179" s="7" t="s">
        <v>2119</v>
      </c>
      <c r="B179" s="7" t="str">
        <f>"1414"</f>
        <v>1414</v>
      </c>
      <c r="C179" s="7">
        <v>2020</v>
      </c>
      <c r="D179" s="7" t="s">
        <v>1867</v>
      </c>
      <c r="E179" s="7" t="s">
        <v>1868</v>
      </c>
      <c r="F179" s="7" t="s">
        <v>3890</v>
      </c>
      <c r="G179" s="7" t="s">
        <v>1871</v>
      </c>
      <c r="H179" s="7">
        <v>1085278077</v>
      </c>
      <c r="I179" s="7">
        <v>0</v>
      </c>
      <c r="J179" s="7" t="s">
        <v>3891</v>
      </c>
      <c r="K179" s="8">
        <v>13757952</v>
      </c>
      <c r="L179" s="7" t="s">
        <v>3467</v>
      </c>
      <c r="M179" s="7" t="s">
        <v>3888</v>
      </c>
      <c r="N179" s="7" t="s">
        <v>3334</v>
      </c>
      <c r="O179" s="7"/>
      <c r="P179" s="13" t="s">
        <v>3892</v>
      </c>
    </row>
    <row r="180" spans="1:16" ht="30" x14ac:dyDescent="0.25">
      <c r="A180" s="7" t="s">
        <v>2119</v>
      </c>
      <c r="B180" s="7" t="str">
        <f>"1139"</f>
        <v>1139</v>
      </c>
      <c r="C180" s="7">
        <v>2020</v>
      </c>
      <c r="D180" s="7" t="s">
        <v>1867</v>
      </c>
      <c r="E180" s="7" t="s">
        <v>1868</v>
      </c>
      <c r="F180" s="7" t="s">
        <v>3636</v>
      </c>
      <c r="G180" s="7" t="s">
        <v>1871</v>
      </c>
      <c r="H180" s="7">
        <v>1085307972</v>
      </c>
      <c r="I180" s="7">
        <v>3</v>
      </c>
      <c r="J180" s="7" t="s">
        <v>3637</v>
      </c>
      <c r="K180" s="8">
        <v>27515904</v>
      </c>
      <c r="L180" s="7" t="s">
        <v>2284</v>
      </c>
      <c r="M180" s="7" t="s">
        <v>3392</v>
      </c>
      <c r="N180" s="7" t="s">
        <v>3607</v>
      </c>
      <c r="O180" s="7"/>
      <c r="P180" s="13" t="s">
        <v>3638</v>
      </c>
    </row>
    <row r="181" spans="1:16" ht="30" x14ac:dyDescent="0.25">
      <c r="A181" s="7" t="s">
        <v>2119</v>
      </c>
      <c r="B181" s="7" t="str">
        <f>"1223"</f>
        <v>1223</v>
      </c>
      <c r="C181" s="7">
        <v>2020</v>
      </c>
      <c r="D181" s="7" t="s">
        <v>1867</v>
      </c>
      <c r="E181" s="7" t="s">
        <v>1875</v>
      </c>
      <c r="F181" s="7" t="s">
        <v>3703</v>
      </c>
      <c r="G181" s="7" t="s">
        <v>1871</v>
      </c>
      <c r="H181" s="7">
        <v>98399314</v>
      </c>
      <c r="I181" s="7">
        <v>7</v>
      </c>
      <c r="J181" s="7" t="s">
        <v>3704</v>
      </c>
      <c r="K181" s="8">
        <v>21200000</v>
      </c>
      <c r="L181" s="7" t="s">
        <v>2107</v>
      </c>
      <c r="M181" s="7" t="s">
        <v>3392</v>
      </c>
      <c r="N181" s="7" t="s">
        <v>3602</v>
      </c>
      <c r="O181" s="7"/>
      <c r="P181" s="13" t="s">
        <v>3705</v>
      </c>
    </row>
    <row r="182" spans="1:16" ht="30" x14ac:dyDescent="0.25">
      <c r="A182" s="7" t="s">
        <v>2119</v>
      </c>
      <c r="B182" s="7" t="str">
        <f>"1224"</f>
        <v>1224</v>
      </c>
      <c r="C182" s="7">
        <v>2020</v>
      </c>
      <c r="D182" s="7" t="s">
        <v>1867</v>
      </c>
      <c r="E182" s="7" t="s">
        <v>1868</v>
      </c>
      <c r="F182" s="7" t="s">
        <v>3706</v>
      </c>
      <c r="G182" s="7" t="s">
        <v>1871</v>
      </c>
      <c r="H182" s="7">
        <v>1085272323</v>
      </c>
      <c r="I182" s="7">
        <v>0</v>
      </c>
      <c r="J182" s="7" t="s">
        <v>3707</v>
      </c>
      <c r="K182" s="8">
        <v>27515904</v>
      </c>
      <c r="L182" s="7" t="s">
        <v>2107</v>
      </c>
      <c r="M182" s="7" t="s">
        <v>3362</v>
      </c>
      <c r="N182" s="7" t="s">
        <v>3602</v>
      </c>
      <c r="O182" s="7"/>
      <c r="P182" s="13" t="s">
        <v>3708</v>
      </c>
    </row>
    <row r="183" spans="1:16" ht="45" x14ac:dyDescent="0.25">
      <c r="A183" s="7" t="s">
        <v>2119</v>
      </c>
      <c r="B183" s="7" t="str">
        <f>"1363"</f>
        <v>1363</v>
      </c>
      <c r="C183" s="7">
        <v>2020</v>
      </c>
      <c r="D183" s="7" t="s">
        <v>1867</v>
      </c>
      <c r="E183" s="7" t="s">
        <v>1868</v>
      </c>
      <c r="F183" s="7" t="s">
        <v>3804</v>
      </c>
      <c r="G183" s="7" t="s">
        <v>1871</v>
      </c>
      <c r="H183" s="7">
        <v>53001444</v>
      </c>
      <c r="I183" s="7">
        <v>4</v>
      </c>
      <c r="J183" s="7" t="s">
        <v>3805</v>
      </c>
      <c r="K183" s="8">
        <v>20636928</v>
      </c>
      <c r="L183" s="7" t="s">
        <v>2923</v>
      </c>
      <c r="M183" s="7" t="s">
        <v>1994</v>
      </c>
      <c r="N183" s="7" t="s">
        <v>3806</v>
      </c>
      <c r="O183" s="7"/>
      <c r="P183" s="13" t="s">
        <v>3807</v>
      </c>
    </row>
    <row r="184" spans="1:16" ht="30" x14ac:dyDescent="0.25">
      <c r="A184" s="7" t="s">
        <v>1968</v>
      </c>
      <c r="B184" s="7" t="str">
        <f>"0856"</f>
        <v>0856</v>
      </c>
      <c r="C184" s="7">
        <v>2020</v>
      </c>
      <c r="D184" s="7" t="s">
        <v>1867</v>
      </c>
      <c r="E184" s="7" t="s">
        <v>1875</v>
      </c>
      <c r="F184" s="7" t="s">
        <v>3205</v>
      </c>
      <c r="G184" s="7" t="s">
        <v>1871</v>
      </c>
      <c r="H184" s="7">
        <v>12752998</v>
      </c>
      <c r="I184" s="7">
        <v>5</v>
      </c>
      <c r="J184" s="7" t="s">
        <v>3206</v>
      </c>
      <c r="K184" s="8">
        <v>22400000</v>
      </c>
      <c r="L184" s="7" t="s">
        <v>2022</v>
      </c>
      <c r="M184" s="7" t="s">
        <v>2331</v>
      </c>
      <c r="N184" s="7" t="s">
        <v>2117</v>
      </c>
      <c r="O184" s="7"/>
      <c r="P184" s="13" t="s">
        <v>3207</v>
      </c>
    </row>
    <row r="185" spans="1:16" ht="30" x14ac:dyDescent="0.25">
      <c r="A185" s="7" t="s">
        <v>1968</v>
      </c>
      <c r="B185" s="7" t="str">
        <f>"0861"</f>
        <v>0861</v>
      </c>
      <c r="C185" s="7">
        <v>2020</v>
      </c>
      <c r="D185" s="7" t="s">
        <v>1867</v>
      </c>
      <c r="E185" s="7" t="s">
        <v>1875</v>
      </c>
      <c r="F185" s="7" t="s">
        <v>3216</v>
      </c>
      <c r="G185" s="7" t="s">
        <v>1871</v>
      </c>
      <c r="H185" s="7">
        <v>14675264</v>
      </c>
      <c r="I185" s="7">
        <v>5</v>
      </c>
      <c r="J185" s="7" t="s">
        <v>3217</v>
      </c>
      <c r="K185" s="8">
        <v>22400000</v>
      </c>
      <c r="L185" s="7" t="s">
        <v>2022</v>
      </c>
      <c r="M185" s="7" t="s">
        <v>2926</v>
      </c>
      <c r="N185" s="7" t="s">
        <v>2117</v>
      </c>
      <c r="O185" s="7"/>
      <c r="P185" s="13" t="s">
        <v>3218</v>
      </c>
    </row>
    <row r="186" spans="1:16" ht="30" x14ac:dyDescent="0.25">
      <c r="A186" s="7" t="s">
        <v>1968</v>
      </c>
      <c r="B186" s="7" t="str">
        <f>"0863"</f>
        <v>0863</v>
      </c>
      <c r="C186" s="7">
        <v>2020</v>
      </c>
      <c r="D186" s="7" t="s">
        <v>1867</v>
      </c>
      <c r="E186" s="7" t="s">
        <v>1868</v>
      </c>
      <c r="F186" s="7" t="s">
        <v>3219</v>
      </c>
      <c r="G186" s="7" t="s">
        <v>1871</v>
      </c>
      <c r="H186" s="7">
        <v>12994897</v>
      </c>
      <c r="I186" s="7">
        <v>8</v>
      </c>
      <c r="J186" s="7" t="s">
        <v>3220</v>
      </c>
      <c r="K186" s="8">
        <v>24076416</v>
      </c>
      <c r="L186" s="7" t="s">
        <v>2022</v>
      </c>
      <c r="M186" s="7" t="s">
        <v>2926</v>
      </c>
      <c r="N186" s="7" t="s">
        <v>2117</v>
      </c>
      <c r="O186" s="7"/>
      <c r="P186" s="13" t="s">
        <v>3221</v>
      </c>
    </row>
    <row r="187" spans="1:16" ht="30" x14ac:dyDescent="0.25">
      <c r="A187" s="7" t="s">
        <v>1968</v>
      </c>
      <c r="B187" s="7" t="str">
        <f>"0873"</f>
        <v>0873</v>
      </c>
      <c r="C187" s="7">
        <v>2020</v>
      </c>
      <c r="D187" s="7" t="s">
        <v>1867</v>
      </c>
      <c r="E187" s="7" t="s">
        <v>1875</v>
      </c>
      <c r="F187" s="7" t="s">
        <v>3242</v>
      </c>
      <c r="G187" s="7" t="s">
        <v>1871</v>
      </c>
      <c r="H187" s="7">
        <v>98354697</v>
      </c>
      <c r="I187" s="7">
        <v>9</v>
      </c>
      <c r="J187" s="7" t="s">
        <v>3243</v>
      </c>
      <c r="K187" s="8">
        <v>22400000</v>
      </c>
      <c r="L187" s="7" t="s">
        <v>2022</v>
      </c>
      <c r="M187" s="7" t="s">
        <v>2926</v>
      </c>
      <c r="N187" s="7" t="s">
        <v>2117</v>
      </c>
      <c r="O187" s="7"/>
      <c r="P187" s="13" t="s">
        <v>3244</v>
      </c>
    </row>
    <row r="188" spans="1:16" ht="30" x14ac:dyDescent="0.25">
      <c r="A188" s="7" t="s">
        <v>1968</v>
      </c>
      <c r="B188" s="7" t="str">
        <f>"0874"</f>
        <v>0874</v>
      </c>
      <c r="C188" s="7">
        <v>2020</v>
      </c>
      <c r="D188" s="7" t="s">
        <v>1867</v>
      </c>
      <c r="E188" s="7" t="s">
        <v>1875</v>
      </c>
      <c r="F188" s="7" t="s">
        <v>3245</v>
      </c>
      <c r="G188" s="7" t="s">
        <v>1871</v>
      </c>
      <c r="H188" s="7">
        <v>98400889</v>
      </c>
      <c r="I188" s="7">
        <v>3</v>
      </c>
      <c r="J188" s="7" t="s">
        <v>2002</v>
      </c>
      <c r="K188" s="8">
        <v>23100000</v>
      </c>
      <c r="L188" s="7" t="s">
        <v>2022</v>
      </c>
      <c r="M188" s="7" t="s">
        <v>2331</v>
      </c>
      <c r="N188" s="7" t="s">
        <v>2117</v>
      </c>
      <c r="O188" s="7"/>
      <c r="P188" s="13" t="s">
        <v>3246</v>
      </c>
    </row>
    <row r="189" spans="1:16" ht="30" x14ac:dyDescent="0.25">
      <c r="A189" s="7" t="s">
        <v>1968</v>
      </c>
      <c r="B189" s="7" t="str">
        <f>"0961"</f>
        <v>0961</v>
      </c>
      <c r="C189" s="7">
        <v>2020</v>
      </c>
      <c r="D189" s="7" t="s">
        <v>1867</v>
      </c>
      <c r="E189" s="7" t="s">
        <v>1868</v>
      </c>
      <c r="F189" s="7" t="s">
        <v>3360</v>
      </c>
      <c r="G189" s="7" t="s">
        <v>1871</v>
      </c>
      <c r="H189" s="7">
        <v>1087131083</v>
      </c>
      <c r="I189" s="7">
        <v>0</v>
      </c>
      <c r="J189" s="7" t="s">
        <v>3361</v>
      </c>
      <c r="K189" s="8">
        <v>24076416</v>
      </c>
      <c r="L189" s="7" t="s">
        <v>2257</v>
      </c>
      <c r="M189" s="7" t="s">
        <v>3362</v>
      </c>
      <c r="N189" s="7" t="s">
        <v>2167</v>
      </c>
      <c r="O189" s="7"/>
      <c r="P189" s="13" t="s">
        <v>3363</v>
      </c>
    </row>
    <row r="190" spans="1:16" x14ac:dyDescent="0.25">
      <c r="A190" s="7" t="s">
        <v>1968</v>
      </c>
      <c r="B190" s="7" t="str">
        <f>"1064"</f>
        <v>1064</v>
      </c>
      <c r="C190" s="7">
        <v>2020</v>
      </c>
      <c r="D190" s="7" t="s">
        <v>1867</v>
      </c>
      <c r="E190" s="7" t="s">
        <v>1868</v>
      </c>
      <c r="F190" s="7" t="s">
        <v>3534</v>
      </c>
      <c r="G190" s="7" t="s">
        <v>1871</v>
      </c>
      <c r="H190" s="7">
        <v>1085296519</v>
      </c>
      <c r="I190" s="7">
        <v>0</v>
      </c>
      <c r="J190" s="7" t="s">
        <v>3535</v>
      </c>
      <c r="K190" s="8">
        <v>24076416</v>
      </c>
      <c r="L190" s="7" t="s">
        <v>2239</v>
      </c>
      <c r="M190" s="7" t="s">
        <v>2104</v>
      </c>
      <c r="N190" s="7" t="s">
        <v>2167</v>
      </c>
      <c r="O190" s="7"/>
      <c r="P190" s="13" t="s">
        <v>1993</v>
      </c>
    </row>
    <row r="191" spans="1:16" x14ac:dyDescent="0.25">
      <c r="A191" s="7" t="s">
        <v>1968</v>
      </c>
      <c r="B191" s="7" t="str">
        <f>"1076"</f>
        <v>1076</v>
      </c>
      <c r="C191" s="7">
        <v>2020</v>
      </c>
      <c r="D191" s="7" t="s">
        <v>1867</v>
      </c>
      <c r="E191" s="7" t="s">
        <v>1868</v>
      </c>
      <c r="F191" s="7" t="s">
        <v>3542</v>
      </c>
      <c r="G191" s="7" t="s">
        <v>1871</v>
      </c>
      <c r="H191" s="7">
        <v>27149255</v>
      </c>
      <c r="I191" s="7">
        <v>0</v>
      </c>
      <c r="J191" s="7" t="s">
        <v>3543</v>
      </c>
      <c r="K191" s="8">
        <v>24076416</v>
      </c>
      <c r="L191" s="7" t="s">
        <v>2239</v>
      </c>
      <c r="M191" s="7" t="s">
        <v>3110</v>
      </c>
      <c r="N191" s="7" t="s">
        <v>2167</v>
      </c>
      <c r="O191" s="7"/>
      <c r="P191" s="13" t="s">
        <v>1993</v>
      </c>
    </row>
    <row r="192" spans="1:16" x14ac:dyDescent="0.25">
      <c r="A192" s="7" t="s">
        <v>1968</v>
      </c>
      <c r="B192" s="7" t="str">
        <f>"1077"</f>
        <v>1077</v>
      </c>
      <c r="C192" s="7">
        <v>2020</v>
      </c>
      <c r="D192" s="7" t="s">
        <v>1867</v>
      </c>
      <c r="E192" s="7" t="s">
        <v>1868</v>
      </c>
      <c r="F192" s="7" t="s">
        <v>3544</v>
      </c>
      <c r="G192" s="7" t="s">
        <v>1871</v>
      </c>
      <c r="H192" s="7">
        <v>1085319521</v>
      </c>
      <c r="I192" s="7">
        <v>7</v>
      </c>
      <c r="J192" s="7" t="s">
        <v>3545</v>
      </c>
      <c r="K192" s="8">
        <v>28276416</v>
      </c>
      <c r="L192" s="7" t="s">
        <v>2239</v>
      </c>
      <c r="M192" s="7" t="s">
        <v>2104</v>
      </c>
      <c r="N192" s="7" t="s">
        <v>2167</v>
      </c>
      <c r="O192" s="7"/>
      <c r="P192" s="13" t="s">
        <v>1993</v>
      </c>
    </row>
    <row r="193" spans="1:16" x14ac:dyDescent="0.25">
      <c r="A193" s="7" t="s">
        <v>1968</v>
      </c>
      <c r="B193" s="7" t="str">
        <f>"1078"</f>
        <v>1078</v>
      </c>
      <c r="C193" s="7">
        <v>2020</v>
      </c>
      <c r="D193" s="7" t="s">
        <v>1867</v>
      </c>
      <c r="E193" s="7" t="s">
        <v>1875</v>
      </c>
      <c r="F193" s="7" t="s">
        <v>3546</v>
      </c>
      <c r="G193" s="7" t="s">
        <v>1871</v>
      </c>
      <c r="H193" s="7">
        <v>1087047433</v>
      </c>
      <c r="I193" s="7">
        <v>6</v>
      </c>
      <c r="J193" s="7" t="s">
        <v>3547</v>
      </c>
      <c r="K193" s="8">
        <v>17500000</v>
      </c>
      <c r="L193" s="7" t="s">
        <v>2239</v>
      </c>
      <c r="M193" s="7" t="s">
        <v>2104</v>
      </c>
      <c r="N193" s="7" t="s">
        <v>2167</v>
      </c>
      <c r="O193" s="7"/>
      <c r="P193" s="13" t="s">
        <v>1993</v>
      </c>
    </row>
    <row r="194" spans="1:16" x14ac:dyDescent="0.25">
      <c r="A194" s="7" t="s">
        <v>1968</v>
      </c>
      <c r="B194" s="7" t="str">
        <f>"1079"</f>
        <v>1079</v>
      </c>
      <c r="C194" s="7">
        <v>2020</v>
      </c>
      <c r="D194" s="7" t="s">
        <v>1867</v>
      </c>
      <c r="E194" s="7" t="s">
        <v>1875</v>
      </c>
      <c r="F194" s="7" t="s">
        <v>3360</v>
      </c>
      <c r="G194" s="7" t="s">
        <v>1871</v>
      </c>
      <c r="H194" s="7">
        <v>87301154</v>
      </c>
      <c r="I194" s="7">
        <v>4</v>
      </c>
      <c r="J194" s="7" t="s">
        <v>3548</v>
      </c>
      <c r="K194" s="8">
        <v>22400000</v>
      </c>
      <c r="L194" s="7" t="s">
        <v>2239</v>
      </c>
      <c r="M194" s="7" t="s">
        <v>3110</v>
      </c>
      <c r="N194" s="7" t="s">
        <v>2167</v>
      </c>
      <c r="O194" s="7"/>
      <c r="P194" s="13" t="s">
        <v>1993</v>
      </c>
    </row>
    <row r="195" spans="1:16" x14ac:dyDescent="0.25">
      <c r="A195" s="7" t="s">
        <v>1968</v>
      </c>
      <c r="B195" s="7" t="str">
        <f>"1081"</f>
        <v>1081</v>
      </c>
      <c r="C195" s="7">
        <v>2020</v>
      </c>
      <c r="D195" s="7" t="s">
        <v>1867</v>
      </c>
      <c r="E195" s="7" t="s">
        <v>1875</v>
      </c>
      <c r="F195" s="7" t="s">
        <v>3360</v>
      </c>
      <c r="G195" s="7" t="s">
        <v>1871</v>
      </c>
      <c r="H195" s="7">
        <v>1085308099</v>
      </c>
      <c r="I195" s="7">
        <v>2</v>
      </c>
      <c r="J195" s="7" t="s">
        <v>3550</v>
      </c>
      <c r="K195" s="8">
        <v>22400000</v>
      </c>
      <c r="L195" s="7" t="s">
        <v>2239</v>
      </c>
      <c r="M195" s="7" t="s">
        <v>2104</v>
      </c>
      <c r="N195" s="7" t="s">
        <v>2167</v>
      </c>
      <c r="O195" s="7"/>
      <c r="P195" s="13" t="s">
        <v>1993</v>
      </c>
    </row>
    <row r="196" spans="1:16" x14ac:dyDescent="0.25">
      <c r="A196" s="7" t="s">
        <v>1968</v>
      </c>
      <c r="B196" s="7" t="str">
        <f>"1082"</f>
        <v>1082</v>
      </c>
      <c r="C196" s="7">
        <v>2020</v>
      </c>
      <c r="D196" s="7" t="s">
        <v>1867</v>
      </c>
      <c r="E196" s="7" t="s">
        <v>1875</v>
      </c>
      <c r="F196" s="7" t="s">
        <v>3360</v>
      </c>
      <c r="G196" s="7" t="s">
        <v>1871</v>
      </c>
      <c r="H196" s="7">
        <v>1085309140</v>
      </c>
      <c r="I196" s="7">
        <v>1</v>
      </c>
      <c r="J196" s="7" t="s">
        <v>3551</v>
      </c>
      <c r="K196" s="8">
        <v>22400000</v>
      </c>
      <c r="L196" s="7" t="s">
        <v>2239</v>
      </c>
      <c r="M196" s="7" t="s">
        <v>3110</v>
      </c>
      <c r="N196" s="7" t="s">
        <v>2167</v>
      </c>
      <c r="O196" s="7"/>
      <c r="P196" s="13" t="s">
        <v>1993</v>
      </c>
    </row>
    <row r="197" spans="1:16" x14ac:dyDescent="0.25">
      <c r="A197" s="7" t="s">
        <v>1968</v>
      </c>
      <c r="B197" s="7" t="str">
        <f>"1083"</f>
        <v>1083</v>
      </c>
      <c r="C197" s="7">
        <v>2020</v>
      </c>
      <c r="D197" s="7" t="s">
        <v>1867</v>
      </c>
      <c r="E197" s="7" t="s">
        <v>1875</v>
      </c>
      <c r="F197" s="7" t="s">
        <v>3360</v>
      </c>
      <c r="G197" s="7" t="s">
        <v>1871</v>
      </c>
      <c r="H197" s="7">
        <v>1085312549</v>
      </c>
      <c r="I197" s="7">
        <v>0</v>
      </c>
      <c r="J197" s="7" t="s">
        <v>3552</v>
      </c>
      <c r="K197" s="8">
        <v>22400000</v>
      </c>
      <c r="L197" s="7" t="s">
        <v>2239</v>
      </c>
      <c r="M197" s="7" t="s">
        <v>2104</v>
      </c>
      <c r="N197" s="7" t="s">
        <v>2167</v>
      </c>
      <c r="O197" s="7"/>
      <c r="P197" s="13" t="s">
        <v>1993</v>
      </c>
    </row>
    <row r="198" spans="1:16" x14ac:dyDescent="0.25">
      <c r="A198" s="7" t="s">
        <v>1968</v>
      </c>
      <c r="B198" s="7" t="str">
        <f>"1088"</f>
        <v>1088</v>
      </c>
      <c r="C198" s="7">
        <v>2020</v>
      </c>
      <c r="D198" s="7" t="s">
        <v>1867</v>
      </c>
      <c r="E198" s="7" t="s">
        <v>1875</v>
      </c>
      <c r="F198" s="7" t="s">
        <v>3360</v>
      </c>
      <c r="G198" s="7" t="s">
        <v>1871</v>
      </c>
      <c r="H198" s="7">
        <v>15816628</v>
      </c>
      <c r="I198" s="7">
        <v>2</v>
      </c>
      <c r="J198" s="7" t="s">
        <v>3555</v>
      </c>
      <c r="K198" s="8">
        <v>22400000</v>
      </c>
      <c r="L198" s="7" t="s">
        <v>2239</v>
      </c>
      <c r="M198" s="7" t="s">
        <v>2104</v>
      </c>
      <c r="N198" s="7" t="s">
        <v>2167</v>
      </c>
      <c r="O198" s="7"/>
      <c r="P198" s="13" t="s">
        <v>1993</v>
      </c>
    </row>
    <row r="199" spans="1:16" x14ac:dyDescent="0.25">
      <c r="A199" s="7" t="s">
        <v>1968</v>
      </c>
      <c r="B199" s="7" t="str">
        <f>"1089"</f>
        <v>1089</v>
      </c>
      <c r="C199" s="7">
        <v>2020</v>
      </c>
      <c r="D199" s="7" t="s">
        <v>1867</v>
      </c>
      <c r="E199" s="7" t="s">
        <v>1875</v>
      </c>
      <c r="F199" s="7" t="s">
        <v>3360</v>
      </c>
      <c r="G199" s="7" t="s">
        <v>1871</v>
      </c>
      <c r="H199" s="7">
        <v>1088734644</v>
      </c>
      <c r="I199" s="7">
        <v>4</v>
      </c>
      <c r="J199" s="7" t="s">
        <v>3556</v>
      </c>
      <c r="K199" s="8">
        <v>22400000</v>
      </c>
      <c r="L199" s="7" t="s">
        <v>2239</v>
      </c>
      <c r="M199" s="7" t="s">
        <v>3110</v>
      </c>
      <c r="N199" s="7" t="s">
        <v>2167</v>
      </c>
      <c r="O199" s="7"/>
      <c r="P199" s="13" t="s">
        <v>1993</v>
      </c>
    </row>
    <row r="200" spans="1:16" x14ac:dyDescent="0.25">
      <c r="A200" s="7" t="s">
        <v>1968</v>
      </c>
      <c r="B200" s="7" t="str">
        <f>"1090"</f>
        <v>1090</v>
      </c>
      <c r="C200" s="7">
        <v>2020</v>
      </c>
      <c r="D200" s="7" t="s">
        <v>1867</v>
      </c>
      <c r="E200" s="7" t="s">
        <v>1875</v>
      </c>
      <c r="F200" s="7" t="s">
        <v>3360</v>
      </c>
      <c r="G200" s="7" t="s">
        <v>1871</v>
      </c>
      <c r="H200" s="7">
        <v>1085258335</v>
      </c>
      <c r="I200" s="7">
        <v>0</v>
      </c>
      <c r="J200" s="7" t="s">
        <v>3557</v>
      </c>
      <c r="K200" s="8">
        <v>22400000</v>
      </c>
      <c r="L200" s="7" t="s">
        <v>2239</v>
      </c>
      <c r="M200" s="7" t="s">
        <v>2104</v>
      </c>
      <c r="N200" s="7" t="s">
        <v>2167</v>
      </c>
      <c r="O200" s="7"/>
      <c r="P200" s="13" t="s">
        <v>1993</v>
      </c>
    </row>
    <row r="201" spans="1:16" ht="30" x14ac:dyDescent="0.25">
      <c r="A201" s="7" t="s">
        <v>1968</v>
      </c>
      <c r="B201" s="7" t="str">
        <f>"1092"</f>
        <v>1092</v>
      </c>
      <c r="C201" s="7">
        <v>2020</v>
      </c>
      <c r="D201" s="7" t="s">
        <v>1867</v>
      </c>
      <c r="E201" s="7" t="s">
        <v>1875</v>
      </c>
      <c r="F201" s="7" t="s">
        <v>3360</v>
      </c>
      <c r="G201" s="7" t="s">
        <v>1871</v>
      </c>
      <c r="H201" s="7">
        <v>1085269058</v>
      </c>
      <c r="I201" s="7">
        <v>2</v>
      </c>
      <c r="J201" s="7" t="s">
        <v>3559</v>
      </c>
      <c r="K201" s="8">
        <v>22400000</v>
      </c>
      <c r="L201" s="7" t="s">
        <v>2239</v>
      </c>
      <c r="M201" s="7" t="s">
        <v>3307</v>
      </c>
      <c r="N201" s="7" t="s">
        <v>2167</v>
      </c>
      <c r="O201" s="7"/>
      <c r="P201" s="13" t="s">
        <v>3560</v>
      </c>
    </row>
    <row r="202" spans="1:16" x14ac:dyDescent="0.25">
      <c r="A202" s="7" t="s">
        <v>1968</v>
      </c>
      <c r="B202" s="7" t="str">
        <f>"1093"</f>
        <v>1093</v>
      </c>
      <c r="C202" s="7">
        <v>2020</v>
      </c>
      <c r="D202" s="7" t="s">
        <v>1867</v>
      </c>
      <c r="E202" s="7" t="s">
        <v>1875</v>
      </c>
      <c r="F202" s="7" t="s">
        <v>3360</v>
      </c>
      <c r="G202" s="7" t="s">
        <v>1871</v>
      </c>
      <c r="H202" s="7">
        <v>36952766</v>
      </c>
      <c r="I202" s="7">
        <v>9</v>
      </c>
      <c r="J202" s="7" t="s">
        <v>3561</v>
      </c>
      <c r="K202" s="8">
        <v>22400000</v>
      </c>
      <c r="L202" s="7" t="s">
        <v>2239</v>
      </c>
      <c r="M202" s="7" t="s">
        <v>3110</v>
      </c>
      <c r="N202" s="7" t="s">
        <v>2167</v>
      </c>
      <c r="O202" s="7"/>
      <c r="P202" s="13" t="s">
        <v>1993</v>
      </c>
    </row>
    <row r="203" spans="1:16" ht="30" x14ac:dyDescent="0.25">
      <c r="A203" s="7" t="s">
        <v>1968</v>
      </c>
      <c r="B203" s="7" t="str">
        <f>"1094"</f>
        <v>1094</v>
      </c>
      <c r="C203" s="7">
        <v>2020</v>
      </c>
      <c r="D203" s="7" t="s">
        <v>1867</v>
      </c>
      <c r="E203" s="7" t="s">
        <v>1875</v>
      </c>
      <c r="F203" s="7" t="s">
        <v>3360</v>
      </c>
      <c r="G203" s="7" t="s">
        <v>1871</v>
      </c>
      <c r="H203" s="7">
        <v>59314725</v>
      </c>
      <c r="I203" s="7">
        <v>4</v>
      </c>
      <c r="J203" s="7" t="s">
        <v>3562</v>
      </c>
      <c r="K203" s="8">
        <v>22400000</v>
      </c>
      <c r="L203" s="7" t="s">
        <v>2239</v>
      </c>
      <c r="M203" s="7" t="s">
        <v>3563</v>
      </c>
      <c r="N203" s="7" t="s">
        <v>2167</v>
      </c>
      <c r="O203" s="7"/>
      <c r="P203" s="13" t="s">
        <v>3564</v>
      </c>
    </row>
    <row r="204" spans="1:16" x14ac:dyDescent="0.25">
      <c r="A204" s="7" t="s">
        <v>1968</v>
      </c>
      <c r="B204" s="7" t="str">
        <f>"1096"</f>
        <v>1096</v>
      </c>
      <c r="C204" s="7">
        <v>2020</v>
      </c>
      <c r="D204" s="7" t="s">
        <v>1867</v>
      </c>
      <c r="E204" s="7" t="s">
        <v>1875</v>
      </c>
      <c r="F204" s="7" t="s">
        <v>3360</v>
      </c>
      <c r="G204" s="7" t="s">
        <v>1871</v>
      </c>
      <c r="H204" s="7">
        <v>1004574326</v>
      </c>
      <c r="I204" s="7">
        <v>4</v>
      </c>
      <c r="J204" s="7" t="s">
        <v>3565</v>
      </c>
      <c r="K204" s="8">
        <v>22400000</v>
      </c>
      <c r="L204" s="7" t="s">
        <v>2239</v>
      </c>
      <c r="M204" s="7" t="s">
        <v>3110</v>
      </c>
      <c r="N204" s="7" t="s">
        <v>2167</v>
      </c>
      <c r="O204" s="7"/>
      <c r="P204" s="13" t="s">
        <v>1993</v>
      </c>
    </row>
    <row r="205" spans="1:16" x14ac:dyDescent="0.25">
      <c r="A205" s="7" t="s">
        <v>1968</v>
      </c>
      <c r="B205" s="7" t="str">
        <f>"1098"</f>
        <v>1098</v>
      </c>
      <c r="C205" s="7">
        <v>2020</v>
      </c>
      <c r="D205" s="7" t="s">
        <v>1867</v>
      </c>
      <c r="E205" s="7" t="s">
        <v>1868</v>
      </c>
      <c r="F205" s="7" t="s">
        <v>3544</v>
      </c>
      <c r="G205" s="7" t="s">
        <v>1871</v>
      </c>
      <c r="H205" s="7">
        <v>1144065235</v>
      </c>
      <c r="I205" s="7">
        <v>7</v>
      </c>
      <c r="J205" s="7" t="s">
        <v>3566</v>
      </c>
      <c r="K205" s="8">
        <v>24076416</v>
      </c>
      <c r="L205" s="7" t="s">
        <v>2239</v>
      </c>
      <c r="M205" s="7" t="s">
        <v>3110</v>
      </c>
      <c r="N205" s="7" t="s">
        <v>2167</v>
      </c>
      <c r="O205" s="7"/>
      <c r="P205" s="13" t="s">
        <v>1993</v>
      </c>
    </row>
    <row r="206" spans="1:16" x14ac:dyDescent="0.25">
      <c r="A206" s="7" t="s">
        <v>1968</v>
      </c>
      <c r="B206" s="7" t="str">
        <f>"1406"</f>
        <v>1406</v>
      </c>
      <c r="C206" s="7">
        <v>2020</v>
      </c>
      <c r="D206" s="7" t="s">
        <v>1867</v>
      </c>
      <c r="E206" s="7" t="s">
        <v>1868</v>
      </c>
      <c r="F206" s="7" t="s">
        <v>3880</v>
      </c>
      <c r="G206" s="7" t="s">
        <v>1871</v>
      </c>
      <c r="H206" s="7">
        <v>59652228</v>
      </c>
      <c r="I206" s="7">
        <v>4</v>
      </c>
      <c r="J206" s="7" t="s">
        <v>3881</v>
      </c>
      <c r="K206" s="8">
        <v>10318464</v>
      </c>
      <c r="L206" s="7" t="s">
        <v>3467</v>
      </c>
      <c r="M206" s="7" t="s">
        <v>3882</v>
      </c>
      <c r="N206" s="7" t="s">
        <v>2167</v>
      </c>
      <c r="O206" s="7"/>
      <c r="P206" s="13" t="s">
        <v>1993</v>
      </c>
    </row>
    <row r="207" spans="1:16" x14ac:dyDescent="0.25">
      <c r="A207" s="7" t="s">
        <v>1968</v>
      </c>
      <c r="B207" s="7" t="str">
        <f>"1407"</f>
        <v>1407</v>
      </c>
      <c r="C207" s="7">
        <v>2020</v>
      </c>
      <c r="D207" s="7" t="s">
        <v>1867</v>
      </c>
      <c r="E207" s="7" t="s">
        <v>1868</v>
      </c>
      <c r="F207" s="7" t="s">
        <v>3883</v>
      </c>
      <c r="G207" s="7" t="s">
        <v>1871</v>
      </c>
      <c r="H207" s="7">
        <v>1085250292</v>
      </c>
      <c r="I207" s="7">
        <v>6</v>
      </c>
      <c r="J207" s="7" t="s">
        <v>3884</v>
      </c>
      <c r="K207" s="8">
        <v>10318464</v>
      </c>
      <c r="L207" s="7" t="s">
        <v>3467</v>
      </c>
      <c r="M207" s="7" t="s">
        <v>3816</v>
      </c>
      <c r="N207" s="7" t="s">
        <v>2167</v>
      </c>
      <c r="O207" s="7"/>
      <c r="P207" s="13" t="s">
        <v>1993</v>
      </c>
    </row>
    <row r="208" spans="1:16" x14ac:dyDescent="0.25">
      <c r="A208" s="7" t="s">
        <v>1968</v>
      </c>
      <c r="B208" s="7" t="str">
        <f>"1417"</f>
        <v>1417</v>
      </c>
      <c r="C208" s="7">
        <v>2020</v>
      </c>
      <c r="D208" s="7" t="s">
        <v>1867</v>
      </c>
      <c r="E208" s="7" t="s">
        <v>1868</v>
      </c>
      <c r="F208" s="7" t="s">
        <v>3893</v>
      </c>
      <c r="G208" s="7" t="s">
        <v>1871</v>
      </c>
      <c r="H208" s="7">
        <v>12751257</v>
      </c>
      <c r="I208" s="7">
        <v>1</v>
      </c>
      <c r="J208" s="7" t="s">
        <v>3519</v>
      </c>
      <c r="K208" s="8">
        <v>16000000</v>
      </c>
      <c r="L208" s="7" t="s">
        <v>3743</v>
      </c>
      <c r="M208" s="7" t="s">
        <v>3894</v>
      </c>
      <c r="N208" s="7" t="s">
        <v>3895</v>
      </c>
      <c r="O208" s="7"/>
      <c r="P208" s="13" t="s">
        <v>1993</v>
      </c>
    </row>
    <row r="209" spans="1:16" x14ac:dyDescent="0.25">
      <c r="A209" s="7" t="s">
        <v>1968</v>
      </c>
      <c r="B209" s="7" t="str">
        <f>"1418"</f>
        <v>1418</v>
      </c>
      <c r="C209" s="7">
        <v>2020</v>
      </c>
      <c r="D209" s="7" t="s">
        <v>1867</v>
      </c>
      <c r="E209" s="7" t="s">
        <v>1875</v>
      </c>
      <c r="F209" s="7" t="s">
        <v>3896</v>
      </c>
      <c r="G209" s="7" t="s">
        <v>1871</v>
      </c>
      <c r="H209" s="7">
        <v>79983799</v>
      </c>
      <c r="I209" s="7">
        <v>0</v>
      </c>
      <c r="J209" s="7" t="s">
        <v>3532</v>
      </c>
      <c r="K209" s="8">
        <v>10000000</v>
      </c>
      <c r="L209" s="7" t="s">
        <v>3743</v>
      </c>
      <c r="M209" s="7" t="s">
        <v>3894</v>
      </c>
      <c r="N209" s="7" t="s">
        <v>3895</v>
      </c>
      <c r="O209" s="7"/>
      <c r="P209" s="13" t="s">
        <v>1993</v>
      </c>
    </row>
    <row r="210" spans="1:16" x14ac:dyDescent="0.25">
      <c r="A210" s="7" t="s">
        <v>1968</v>
      </c>
      <c r="B210" s="7" t="str">
        <f>"1419"</f>
        <v>1419</v>
      </c>
      <c r="C210" s="7">
        <v>2020</v>
      </c>
      <c r="D210" s="7" t="s">
        <v>1867</v>
      </c>
      <c r="E210" s="7" t="s">
        <v>1868</v>
      </c>
      <c r="F210" s="7" t="s">
        <v>3897</v>
      </c>
      <c r="G210" s="7" t="s">
        <v>1871</v>
      </c>
      <c r="H210" s="7">
        <v>37086790</v>
      </c>
      <c r="I210" s="7">
        <v>4</v>
      </c>
      <c r="J210" s="7" t="s">
        <v>3518</v>
      </c>
      <c r="K210" s="8">
        <v>13757952</v>
      </c>
      <c r="L210" s="7" t="s">
        <v>3743</v>
      </c>
      <c r="M210" s="7" t="s">
        <v>3894</v>
      </c>
      <c r="N210" s="7" t="s">
        <v>3895</v>
      </c>
      <c r="O210" s="7"/>
      <c r="P210" s="13" t="s">
        <v>1993</v>
      </c>
    </row>
    <row r="211" spans="1:16" x14ac:dyDescent="0.25">
      <c r="A211" s="7" t="s">
        <v>1968</v>
      </c>
      <c r="B211" s="7" t="str">
        <f>"1426"</f>
        <v>1426</v>
      </c>
      <c r="C211" s="7">
        <v>2020</v>
      </c>
      <c r="D211" s="7" t="s">
        <v>1867</v>
      </c>
      <c r="E211" s="7" t="s">
        <v>1875</v>
      </c>
      <c r="F211" s="7" t="s">
        <v>3903</v>
      </c>
      <c r="G211" s="7" t="s">
        <v>1871</v>
      </c>
      <c r="H211" s="7">
        <v>98393597</v>
      </c>
      <c r="I211" s="7">
        <v>7</v>
      </c>
      <c r="J211" s="7" t="s">
        <v>3727</v>
      </c>
      <c r="K211" s="8">
        <v>6800000</v>
      </c>
      <c r="L211" s="7" t="s">
        <v>1995</v>
      </c>
      <c r="M211" s="7" t="s">
        <v>3902</v>
      </c>
      <c r="N211" s="7" t="s">
        <v>3895</v>
      </c>
      <c r="O211" s="7"/>
      <c r="P211" s="13" t="s">
        <v>1993</v>
      </c>
    </row>
    <row r="212" spans="1:16" x14ac:dyDescent="0.25">
      <c r="A212" s="7" t="s">
        <v>1968</v>
      </c>
      <c r="B212" s="7" t="str">
        <f>"1422"</f>
        <v>1422</v>
      </c>
      <c r="C212" s="7">
        <v>2020</v>
      </c>
      <c r="D212" s="7" t="s">
        <v>1867</v>
      </c>
      <c r="E212" s="7" t="s">
        <v>1868</v>
      </c>
      <c r="F212" s="7" t="s">
        <v>3898</v>
      </c>
      <c r="G212" s="7" t="s">
        <v>1871</v>
      </c>
      <c r="H212" s="7">
        <v>76327991</v>
      </c>
      <c r="I212" s="7">
        <v>5</v>
      </c>
      <c r="J212" s="7" t="s">
        <v>3528</v>
      </c>
      <c r="K212" s="8">
        <v>16000000</v>
      </c>
      <c r="L212" s="7" t="s">
        <v>1994</v>
      </c>
      <c r="M212" s="7" t="s">
        <v>3882</v>
      </c>
      <c r="N212" s="7" t="s">
        <v>3833</v>
      </c>
      <c r="O212" s="7"/>
      <c r="P212" s="13" t="s">
        <v>1993</v>
      </c>
    </row>
    <row r="213" spans="1:16" x14ac:dyDescent="0.25">
      <c r="A213" s="7" t="s">
        <v>1968</v>
      </c>
      <c r="B213" s="7" t="str">
        <f>"1423"</f>
        <v>1423</v>
      </c>
      <c r="C213" s="7">
        <v>2020</v>
      </c>
      <c r="D213" s="7" t="s">
        <v>1867</v>
      </c>
      <c r="E213" s="7" t="s">
        <v>1868</v>
      </c>
      <c r="F213" s="7" t="s">
        <v>3899</v>
      </c>
      <c r="G213" s="7" t="s">
        <v>1871</v>
      </c>
      <c r="H213" s="7">
        <v>12992919</v>
      </c>
      <c r="I213" s="7">
        <v>2</v>
      </c>
      <c r="J213" s="7" t="s">
        <v>1977</v>
      </c>
      <c r="K213" s="8">
        <v>13757952</v>
      </c>
      <c r="L213" s="7" t="s">
        <v>1994</v>
      </c>
      <c r="M213" s="7" t="s">
        <v>3882</v>
      </c>
      <c r="N213" s="7" t="s">
        <v>3833</v>
      </c>
      <c r="O213" s="7"/>
      <c r="P213" s="13" t="s">
        <v>1993</v>
      </c>
    </row>
    <row r="214" spans="1:16" x14ac:dyDescent="0.25">
      <c r="A214" s="7" t="s">
        <v>1968</v>
      </c>
      <c r="B214" s="7" t="str">
        <f>"1424"</f>
        <v>1424</v>
      </c>
      <c r="C214" s="7">
        <v>2020</v>
      </c>
      <c r="D214" s="7" t="s">
        <v>1867</v>
      </c>
      <c r="E214" s="7" t="s">
        <v>1868</v>
      </c>
      <c r="F214" s="7" t="s">
        <v>3900</v>
      </c>
      <c r="G214" s="7" t="s">
        <v>1871</v>
      </c>
      <c r="H214" s="7">
        <v>12750682</v>
      </c>
      <c r="I214" s="7">
        <v>4</v>
      </c>
      <c r="J214" s="7" t="s">
        <v>3517</v>
      </c>
      <c r="K214" s="8">
        <v>16000000</v>
      </c>
      <c r="L214" s="7" t="s">
        <v>1994</v>
      </c>
      <c r="M214" s="7" t="s">
        <v>3882</v>
      </c>
      <c r="N214" s="7" t="s">
        <v>3833</v>
      </c>
      <c r="O214" s="7"/>
      <c r="P214" s="13" t="s">
        <v>1993</v>
      </c>
    </row>
    <row r="215" spans="1:16" x14ac:dyDescent="0.25">
      <c r="A215" s="7" t="s">
        <v>1968</v>
      </c>
      <c r="B215" s="7" t="str">
        <f>"1425"</f>
        <v>1425</v>
      </c>
      <c r="C215" s="7">
        <v>2020</v>
      </c>
      <c r="D215" s="7" t="s">
        <v>1867</v>
      </c>
      <c r="E215" s="7" t="s">
        <v>1868</v>
      </c>
      <c r="F215" s="7" t="s">
        <v>3901</v>
      </c>
      <c r="G215" s="7" t="s">
        <v>1871</v>
      </c>
      <c r="H215" s="7">
        <v>1085283632</v>
      </c>
      <c r="I215" s="7">
        <v>0</v>
      </c>
      <c r="J215" s="7" t="s">
        <v>3713</v>
      </c>
      <c r="K215" s="8">
        <v>13757952</v>
      </c>
      <c r="L215" s="7" t="s">
        <v>1994</v>
      </c>
      <c r="M215" s="7" t="s">
        <v>3902</v>
      </c>
      <c r="N215" s="7" t="s">
        <v>3833</v>
      </c>
      <c r="O215" s="7"/>
      <c r="P215" s="13" t="s">
        <v>1993</v>
      </c>
    </row>
    <row r="216" spans="1:16" x14ac:dyDescent="0.25">
      <c r="A216" s="7" t="s">
        <v>1968</v>
      </c>
      <c r="B216" s="7" t="str">
        <f>"1427"</f>
        <v>1427</v>
      </c>
      <c r="C216" s="7">
        <v>2020</v>
      </c>
      <c r="D216" s="7" t="s">
        <v>1867</v>
      </c>
      <c r="E216" s="7" t="s">
        <v>1868</v>
      </c>
      <c r="F216" s="7" t="s">
        <v>3904</v>
      </c>
      <c r="G216" s="7" t="s">
        <v>1871</v>
      </c>
      <c r="H216" s="7">
        <v>12972191</v>
      </c>
      <c r="I216" s="7">
        <v>7</v>
      </c>
      <c r="J216" s="7" t="s">
        <v>3567</v>
      </c>
      <c r="K216" s="8">
        <v>13757952</v>
      </c>
      <c r="L216" s="7" t="s">
        <v>1995</v>
      </c>
      <c r="M216" s="7" t="s">
        <v>3902</v>
      </c>
      <c r="N216" s="7" t="s">
        <v>3595</v>
      </c>
      <c r="O216" s="7"/>
      <c r="P216" s="13" t="s">
        <v>1993</v>
      </c>
    </row>
    <row r="217" spans="1:16" x14ac:dyDescent="0.25">
      <c r="A217" s="7" t="s">
        <v>1968</v>
      </c>
      <c r="B217" s="7" t="str">
        <f>"1452"</f>
        <v>1452</v>
      </c>
      <c r="C217" s="7">
        <v>2020</v>
      </c>
      <c r="D217" s="7" t="s">
        <v>1867</v>
      </c>
      <c r="E217" s="7" t="s">
        <v>1868</v>
      </c>
      <c r="F217" s="7" t="s">
        <v>3943</v>
      </c>
      <c r="G217" s="7" t="s">
        <v>1871</v>
      </c>
      <c r="H217" s="7">
        <v>5208376</v>
      </c>
      <c r="I217" s="7">
        <v>7</v>
      </c>
      <c r="J217" s="7" t="s">
        <v>3530</v>
      </c>
      <c r="K217" s="8">
        <v>13757952</v>
      </c>
      <c r="L217" s="7" t="s">
        <v>2067</v>
      </c>
      <c r="M217" s="7" t="s">
        <v>3875</v>
      </c>
      <c r="N217" s="7" t="s">
        <v>3778</v>
      </c>
      <c r="O217" s="7"/>
      <c r="P217" s="13" t="s">
        <v>1993</v>
      </c>
    </row>
    <row r="218" spans="1:16" x14ac:dyDescent="0.25">
      <c r="A218" s="7" t="s">
        <v>1968</v>
      </c>
      <c r="B218" s="7" t="str">
        <f>"1453"</f>
        <v>1453</v>
      </c>
      <c r="C218" s="7">
        <v>2020</v>
      </c>
      <c r="D218" s="7" t="s">
        <v>1867</v>
      </c>
      <c r="E218" s="7" t="s">
        <v>1868</v>
      </c>
      <c r="F218" s="7" t="s">
        <v>3944</v>
      </c>
      <c r="G218" s="7" t="s">
        <v>1871</v>
      </c>
      <c r="H218" s="7">
        <v>98382106</v>
      </c>
      <c r="I218" s="7">
        <v>7</v>
      </c>
      <c r="J218" s="7" t="s">
        <v>3531</v>
      </c>
      <c r="K218" s="8">
        <v>13757952</v>
      </c>
      <c r="L218" s="7" t="s">
        <v>2067</v>
      </c>
      <c r="M218" s="7" t="s">
        <v>3875</v>
      </c>
      <c r="N218" s="7" t="s">
        <v>3778</v>
      </c>
      <c r="O218" s="7"/>
      <c r="P218" s="13" t="s">
        <v>1993</v>
      </c>
    </row>
    <row r="219" spans="1:16" x14ac:dyDescent="0.25">
      <c r="A219" s="7" t="s">
        <v>1968</v>
      </c>
      <c r="B219" s="7" t="str">
        <f>"1456"</f>
        <v>1456</v>
      </c>
      <c r="C219" s="7">
        <v>2020</v>
      </c>
      <c r="D219" s="7" t="s">
        <v>1867</v>
      </c>
      <c r="E219" s="7" t="s">
        <v>1868</v>
      </c>
      <c r="F219" s="7" t="s">
        <v>3949</v>
      </c>
      <c r="G219" s="7" t="s">
        <v>1871</v>
      </c>
      <c r="H219" s="7">
        <v>1085293203</v>
      </c>
      <c r="I219" s="7">
        <v>5</v>
      </c>
      <c r="J219" s="7" t="s">
        <v>3549</v>
      </c>
      <c r="K219" s="8">
        <v>13757952</v>
      </c>
      <c r="L219" s="7" t="s">
        <v>2067</v>
      </c>
      <c r="M219" s="7" t="s">
        <v>3875</v>
      </c>
      <c r="N219" s="7" t="s">
        <v>3778</v>
      </c>
      <c r="O219" s="7"/>
      <c r="P219" s="13" t="s">
        <v>1993</v>
      </c>
    </row>
    <row r="220" spans="1:16" x14ac:dyDescent="0.25">
      <c r="A220" s="7" t="s">
        <v>1968</v>
      </c>
      <c r="B220" s="7" t="str">
        <f>"1457"</f>
        <v>1457</v>
      </c>
      <c r="C220" s="7">
        <v>2020</v>
      </c>
      <c r="D220" s="7" t="s">
        <v>1867</v>
      </c>
      <c r="E220" s="7" t="s">
        <v>1868</v>
      </c>
      <c r="F220" s="7" t="s">
        <v>3950</v>
      </c>
      <c r="G220" s="7" t="s">
        <v>1871</v>
      </c>
      <c r="H220" s="7">
        <v>12994443</v>
      </c>
      <c r="I220" s="7">
        <v>9</v>
      </c>
      <c r="J220" s="7" t="s">
        <v>3540</v>
      </c>
      <c r="K220" s="8">
        <v>13757952</v>
      </c>
      <c r="L220" s="7" t="s">
        <v>2067</v>
      </c>
      <c r="M220" s="7" t="s">
        <v>3875</v>
      </c>
      <c r="N220" s="7" t="s">
        <v>3778</v>
      </c>
      <c r="O220" s="7"/>
      <c r="P220" s="13" t="s">
        <v>1993</v>
      </c>
    </row>
    <row r="221" spans="1:16" ht="30" x14ac:dyDescent="0.25">
      <c r="A221" s="7" t="s">
        <v>1968</v>
      </c>
      <c r="B221" s="7" t="str">
        <f>"0889"</f>
        <v>0889</v>
      </c>
      <c r="C221" s="7">
        <v>2020</v>
      </c>
      <c r="D221" s="7" t="s">
        <v>1867</v>
      </c>
      <c r="E221" s="7" t="s">
        <v>1875</v>
      </c>
      <c r="F221" s="7" t="s">
        <v>3242</v>
      </c>
      <c r="G221" s="7" t="s">
        <v>1871</v>
      </c>
      <c r="H221" s="7">
        <v>1085263061</v>
      </c>
      <c r="I221" s="7">
        <v>8</v>
      </c>
      <c r="J221" s="7" t="s">
        <v>2150</v>
      </c>
      <c r="K221" s="8">
        <v>28800000</v>
      </c>
      <c r="L221" s="7" t="s">
        <v>2016</v>
      </c>
      <c r="M221" s="7" t="s">
        <v>2204</v>
      </c>
      <c r="N221" s="7" t="s">
        <v>3264</v>
      </c>
      <c r="O221" s="7"/>
      <c r="P221" s="13" t="s">
        <v>3265</v>
      </c>
    </row>
    <row r="222" spans="1:16" ht="30" x14ac:dyDescent="0.25">
      <c r="A222" s="7" t="s">
        <v>1968</v>
      </c>
      <c r="B222" s="7" t="str">
        <f>"0890"</f>
        <v>0890</v>
      </c>
      <c r="C222" s="7">
        <v>2020</v>
      </c>
      <c r="D222" s="7" t="s">
        <v>1867</v>
      </c>
      <c r="E222" s="7" t="s">
        <v>1875</v>
      </c>
      <c r="F222" s="7" t="s">
        <v>3242</v>
      </c>
      <c r="G222" s="7" t="s">
        <v>1871</v>
      </c>
      <c r="H222" s="7">
        <v>27250422</v>
      </c>
      <c r="I222" s="7">
        <v>5</v>
      </c>
      <c r="J222" s="7" t="s">
        <v>3266</v>
      </c>
      <c r="K222" s="8">
        <v>28800000</v>
      </c>
      <c r="L222" s="7" t="s">
        <v>2016</v>
      </c>
      <c r="M222" s="7" t="s">
        <v>2204</v>
      </c>
      <c r="N222" s="7" t="s">
        <v>3264</v>
      </c>
      <c r="O222" s="7"/>
      <c r="P222" s="13" t="s">
        <v>3267</v>
      </c>
    </row>
    <row r="223" spans="1:16" ht="30" x14ac:dyDescent="0.25">
      <c r="A223" s="7" t="s">
        <v>1968</v>
      </c>
      <c r="B223" s="7" t="str">
        <f>"0891"</f>
        <v>0891</v>
      </c>
      <c r="C223" s="7">
        <v>2020</v>
      </c>
      <c r="D223" s="7" t="s">
        <v>1867</v>
      </c>
      <c r="E223" s="7" t="s">
        <v>1875</v>
      </c>
      <c r="F223" s="7" t="s">
        <v>3268</v>
      </c>
      <c r="G223" s="7" t="s">
        <v>1871</v>
      </c>
      <c r="H223" s="7">
        <v>1085271287</v>
      </c>
      <c r="I223" s="7">
        <v>9</v>
      </c>
      <c r="J223" s="7" t="s">
        <v>2151</v>
      </c>
      <c r="K223" s="8">
        <v>28800000</v>
      </c>
      <c r="L223" s="7" t="s">
        <v>2016</v>
      </c>
      <c r="M223" s="7" t="s">
        <v>2331</v>
      </c>
      <c r="N223" s="7" t="s">
        <v>3264</v>
      </c>
      <c r="O223" s="7"/>
      <c r="P223" s="13" t="s">
        <v>3269</v>
      </c>
    </row>
    <row r="224" spans="1:16" x14ac:dyDescent="0.25">
      <c r="A224" s="7" t="s">
        <v>1968</v>
      </c>
      <c r="B224" s="7" t="str">
        <f>"1477"</f>
        <v>1477</v>
      </c>
      <c r="C224" s="7">
        <v>2020</v>
      </c>
      <c r="D224" s="7" t="s">
        <v>1867</v>
      </c>
      <c r="E224" s="7" t="s">
        <v>1868</v>
      </c>
      <c r="F224" s="7" t="s">
        <v>3984</v>
      </c>
      <c r="G224" s="7" t="s">
        <v>1871</v>
      </c>
      <c r="H224" s="7">
        <v>1081592152</v>
      </c>
      <c r="I224" s="7">
        <v>6</v>
      </c>
      <c r="J224" s="7" t="s">
        <v>3526</v>
      </c>
      <c r="K224" s="8">
        <v>13757952</v>
      </c>
      <c r="L224" s="7" t="s">
        <v>3985</v>
      </c>
      <c r="M224" s="7" t="s">
        <v>3986</v>
      </c>
      <c r="N224" s="7" t="s">
        <v>3264</v>
      </c>
      <c r="O224" s="7"/>
      <c r="P224" s="13" t="s">
        <v>1993</v>
      </c>
    </row>
    <row r="225" spans="1:16" x14ac:dyDescent="0.25">
      <c r="A225" s="7" t="s">
        <v>1968</v>
      </c>
      <c r="B225" s="7" t="str">
        <f>"1478"</f>
        <v>1478</v>
      </c>
      <c r="C225" s="7">
        <v>2020</v>
      </c>
      <c r="D225" s="7" t="s">
        <v>1867</v>
      </c>
      <c r="E225" s="7" t="s">
        <v>1875</v>
      </c>
      <c r="F225" s="7" t="s">
        <v>3987</v>
      </c>
      <c r="G225" s="7" t="s">
        <v>1871</v>
      </c>
      <c r="H225" s="7">
        <v>1089459474</v>
      </c>
      <c r="I225" s="7">
        <v>3</v>
      </c>
      <c r="J225" s="7" t="s">
        <v>3524</v>
      </c>
      <c r="K225" s="8">
        <v>11200000</v>
      </c>
      <c r="L225" s="7" t="s">
        <v>3985</v>
      </c>
      <c r="M225" s="7" t="s">
        <v>1909</v>
      </c>
      <c r="N225" s="7" t="s">
        <v>3264</v>
      </c>
      <c r="O225" s="7"/>
      <c r="P225" s="13" t="s">
        <v>1993</v>
      </c>
    </row>
    <row r="226" spans="1:16" x14ac:dyDescent="0.25">
      <c r="A226" s="7" t="s">
        <v>1968</v>
      </c>
      <c r="B226" s="7" t="str">
        <f>"1481"</f>
        <v>1481</v>
      </c>
      <c r="C226" s="7">
        <v>2020</v>
      </c>
      <c r="D226" s="7" t="s">
        <v>1867</v>
      </c>
      <c r="E226" s="7" t="s">
        <v>1875</v>
      </c>
      <c r="F226" s="7" t="s">
        <v>3992</v>
      </c>
      <c r="G226" s="7" t="s">
        <v>1871</v>
      </c>
      <c r="H226" s="7">
        <v>1085327705</v>
      </c>
      <c r="I226" s="7">
        <v>9</v>
      </c>
      <c r="J226" s="7" t="s">
        <v>3541</v>
      </c>
      <c r="K226" s="8">
        <v>8000000</v>
      </c>
      <c r="L226" s="7" t="s">
        <v>3985</v>
      </c>
      <c r="M226" s="7" t="s">
        <v>1909</v>
      </c>
      <c r="N226" s="7" t="s">
        <v>3264</v>
      </c>
      <c r="O226" s="7"/>
      <c r="P226" s="13" t="s">
        <v>1993</v>
      </c>
    </row>
    <row r="227" spans="1:16" x14ac:dyDescent="0.25">
      <c r="A227" s="7" t="s">
        <v>1968</v>
      </c>
      <c r="B227" s="7" t="str">
        <f>"1482"</f>
        <v>1482</v>
      </c>
      <c r="C227" s="7">
        <v>2020</v>
      </c>
      <c r="D227" s="7" t="s">
        <v>1867</v>
      </c>
      <c r="E227" s="7" t="s">
        <v>1875</v>
      </c>
      <c r="F227" s="7" t="s">
        <v>3992</v>
      </c>
      <c r="G227" s="7" t="s">
        <v>1871</v>
      </c>
      <c r="H227" s="7">
        <v>1085292401</v>
      </c>
      <c r="I227" s="7">
        <v>2</v>
      </c>
      <c r="J227" s="7" t="s">
        <v>3579</v>
      </c>
      <c r="K227" s="8">
        <v>8000000</v>
      </c>
      <c r="L227" s="7" t="s">
        <v>3985</v>
      </c>
      <c r="M227" s="7" t="s">
        <v>1909</v>
      </c>
      <c r="N227" s="7" t="s">
        <v>3264</v>
      </c>
      <c r="O227" s="7"/>
      <c r="P227" s="13" t="s">
        <v>1993</v>
      </c>
    </row>
    <row r="228" spans="1:16" x14ac:dyDescent="0.25">
      <c r="A228" s="7" t="s">
        <v>1968</v>
      </c>
      <c r="B228" s="7" t="str">
        <f>"1483"</f>
        <v>1483</v>
      </c>
      <c r="C228" s="7">
        <v>2020</v>
      </c>
      <c r="D228" s="7" t="s">
        <v>1867</v>
      </c>
      <c r="E228" s="7" t="s">
        <v>1868</v>
      </c>
      <c r="F228" s="7" t="s">
        <v>3993</v>
      </c>
      <c r="G228" s="7" t="s">
        <v>1871</v>
      </c>
      <c r="H228" s="7">
        <v>1014239967</v>
      </c>
      <c r="I228" s="7">
        <v>0</v>
      </c>
      <c r="J228" s="7" t="s">
        <v>3994</v>
      </c>
      <c r="K228" s="8">
        <v>13757952</v>
      </c>
      <c r="L228" s="7" t="s">
        <v>3985</v>
      </c>
      <c r="M228" s="7" t="s">
        <v>3476</v>
      </c>
      <c r="N228" s="7" t="s">
        <v>3791</v>
      </c>
      <c r="O228" s="7"/>
      <c r="P228" s="13" t="s">
        <v>1993</v>
      </c>
    </row>
    <row r="229" spans="1:16" x14ac:dyDescent="0.25">
      <c r="A229" s="7" t="s">
        <v>1968</v>
      </c>
      <c r="B229" s="7" t="str">
        <f>"1489"</f>
        <v>1489</v>
      </c>
      <c r="C229" s="7">
        <v>2020</v>
      </c>
      <c r="D229" s="7" t="s">
        <v>1867</v>
      </c>
      <c r="E229" s="7" t="s">
        <v>1868</v>
      </c>
      <c r="F229" s="7" t="s">
        <v>4004</v>
      </c>
      <c r="G229" s="7" t="s">
        <v>1871</v>
      </c>
      <c r="H229" s="7">
        <v>12974999</v>
      </c>
      <c r="I229" s="7">
        <v>5</v>
      </c>
      <c r="J229" s="7" t="s">
        <v>3539</v>
      </c>
      <c r="K229" s="8">
        <v>13757952</v>
      </c>
      <c r="L229" s="7" t="s">
        <v>3879</v>
      </c>
      <c r="M229" s="7" t="s">
        <v>3476</v>
      </c>
      <c r="N229" s="7" t="s">
        <v>3791</v>
      </c>
      <c r="O229" s="7"/>
      <c r="P229" s="13" t="s">
        <v>1993</v>
      </c>
    </row>
    <row r="230" spans="1:16" x14ac:dyDescent="0.25">
      <c r="A230" s="7" t="s">
        <v>1968</v>
      </c>
      <c r="B230" s="7" t="str">
        <f>"1490"</f>
        <v>1490</v>
      </c>
      <c r="C230" s="7">
        <v>2020</v>
      </c>
      <c r="D230" s="7" t="s">
        <v>1867</v>
      </c>
      <c r="E230" s="7" t="s">
        <v>1868</v>
      </c>
      <c r="F230" s="7" t="s">
        <v>4005</v>
      </c>
      <c r="G230" s="7" t="s">
        <v>1871</v>
      </c>
      <c r="H230" s="7">
        <v>1089485082</v>
      </c>
      <c r="I230" s="7">
        <v>1</v>
      </c>
      <c r="J230" s="7" t="s">
        <v>4006</v>
      </c>
      <c r="K230" s="8">
        <v>13757952</v>
      </c>
      <c r="L230" s="7" t="s">
        <v>3879</v>
      </c>
      <c r="M230" s="7" t="s">
        <v>3476</v>
      </c>
      <c r="N230" s="7" t="s">
        <v>3791</v>
      </c>
      <c r="O230" s="7"/>
      <c r="P230" s="13" t="s">
        <v>1993</v>
      </c>
    </row>
    <row r="231" spans="1:16" x14ac:dyDescent="0.25">
      <c r="A231" s="7" t="s">
        <v>1968</v>
      </c>
      <c r="B231" s="7" t="str">
        <f>"1492"</f>
        <v>1492</v>
      </c>
      <c r="C231" s="7">
        <v>2020</v>
      </c>
      <c r="D231" s="7" t="s">
        <v>1867</v>
      </c>
      <c r="E231" s="7" t="s">
        <v>1868</v>
      </c>
      <c r="F231" s="7" t="s">
        <v>4008</v>
      </c>
      <c r="G231" s="7" t="s">
        <v>1871</v>
      </c>
      <c r="H231" s="7">
        <v>59312972</v>
      </c>
      <c r="I231" s="7">
        <v>8</v>
      </c>
      <c r="J231" s="7" t="s">
        <v>3578</v>
      </c>
      <c r="K231" s="8">
        <v>13757952</v>
      </c>
      <c r="L231" s="7" t="s">
        <v>3907</v>
      </c>
      <c r="M231" s="7" t="s">
        <v>2117</v>
      </c>
      <c r="N231" s="7" t="s">
        <v>3999</v>
      </c>
      <c r="O231" s="7"/>
      <c r="P231" s="13" t="s">
        <v>1993</v>
      </c>
    </row>
    <row r="232" spans="1:16" x14ac:dyDescent="0.25">
      <c r="A232" s="7" t="s">
        <v>1968</v>
      </c>
      <c r="B232" s="7" t="str">
        <f>"1493"</f>
        <v>1493</v>
      </c>
      <c r="C232" s="7">
        <v>2020</v>
      </c>
      <c r="D232" s="7" t="s">
        <v>1867</v>
      </c>
      <c r="E232" s="7" t="s">
        <v>1875</v>
      </c>
      <c r="F232" s="7" t="s">
        <v>4009</v>
      </c>
      <c r="G232" s="7" t="s">
        <v>1871</v>
      </c>
      <c r="H232" s="7">
        <v>1085257711</v>
      </c>
      <c r="I232" s="7">
        <v>2</v>
      </c>
      <c r="J232" s="7" t="s">
        <v>3554</v>
      </c>
      <c r="K232" s="8">
        <v>8000000</v>
      </c>
      <c r="L232" s="7" t="s">
        <v>3907</v>
      </c>
      <c r="M232" s="7" t="s">
        <v>2117</v>
      </c>
      <c r="N232" s="7" t="s">
        <v>3999</v>
      </c>
      <c r="O232" s="7"/>
      <c r="P232" s="13" t="s">
        <v>1993</v>
      </c>
    </row>
    <row r="233" spans="1:16" x14ac:dyDescent="0.25">
      <c r="A233" s="7" t="s">
        <v>1968</v>
      </c>
      <c r="B233" s="7" t="str">
        <f>"1497"</f>
        <v>1497</v>
      </c>
      <c r="C233" s="7">
        <v>2020</v>
      </c>
      <c r="D233" s="7" t="s">
        <v>1867</v>
      </c>
      <c r="E233" s="7" t="s">
        <v>1868</v>
      </c>
      <c r="F233" s="7" t="s">
        <v>4020</v>
      </c>
      <c r="G233" s="7" t="s">
        <v>1871</v>
      </c>
      <c r="H233" s="7">
        <v>1085273004</v>
      </c>
      <c r="I233" s="7">
        <v>0</v>
      </c>
      <c r="J233" s="7" t="s">
        <v>3523</v>
      </c>
      <c r="K233" s="8">
        <v>13757952</v>
      </c>
      <c r="L233" s="7" t="s">
        <v>3888</v>
      </c>
      <c r="M233" s="7" t="s">
        <v>4021</v>
      </c>
      <c r="N233" s="7" t="s">
        <v>4012</v>
      </c>
      <c r="O233" s="7"/>
      <c r="P233" s="13" t="s">
        <v>1993</v>
      </c>
    </row>
    <row r="234" spans="1:16" x14ac:dyDescent="0.25">
      <c r="A234" s="7" t="s">
        <v>1968</v>
      </c>
      <c r="B234" s="7" t="str">
        <f>"1498"</f>
        <v>1498</v>
      </c>
      <c r="C234" s="7">
        <v>2020</v>
      </c>
      <c r="D234" s="7" t="s">
        <v>1867</v>
      </c>
      <c r="E234" s="7" t="s">
        <v>1868</v>
      </c>
      <c r="F234" s="7" t="s">
        <v>4022</v>
      </c>
      <c r="G234" s="7" t="s">
        <v>1871</v>
      </c>
      <c r="H234" s="7">
        <v>59795632</v>
      </c>
      <c r="I234" s="7">
        <v>0</v>
      </c>
      <c r="J234" s="7" t="s">
        <v>4023</v>
      </c>
      <c r="K234" s="8">
        <v>13757952</v>
      </c>
      <c r="L234" s="7" t="s">
        <v>3888</v>
      </c>
      <c r="M234" s="7" t="s">
        <v>2117</v>
      </c>
      <c r="N234" s="7" t="s">
        <v>4012</v>
      </c>
      <c r="O234" s="7"/>
      <c r="P234" s="13" t="s">
        <v>1993</v>
      </c>
    </row>
    <row r="235" spans="1:16" x14ac:dyDescent="0.25">
      <c r="A235" s="7" t="s">
        <v>1968</v>
      </c>
      <c r="B235" s="7" t="str">
        <f>"1499"</f>
        <v>1499</v>
      </c>
      <c r="C235" s="7">
        <v>2020</v>
      </c>
      <c r="D235" s="7" t="s">
        <v>1867</v>
      </c>
      <c r="E235" s="7" t="s">
        <v>1868</v>
      </c>
      <c r="F235" s="7" t="s">
        <v>4024</v>
      </c>
      <c r="G235" s="7" t="s">
        <v>1871</v>
      </c>
      <c r="H235" s="7">
        <v>1088733904</v>
      </c>
      <c r="I235" s="7">
        <v>1</v>
      </c>
      <c r="J235" s="7" t="s">
        <v>3525</v>
      </c>
      <c r="K235" s="8">
        <v>13757952</v>
      </c>
      <c r="L235" s="7" t="s">
        <v>3888</v>
      </c>
      <c r="M235" s="7" t="s">
        <v>3476</v>
      </c>
      <c r="N235" s="7" t="s">
        <v>4015</v>
      </c>
      <c r="O235" s="7"/>
      <c r="P235" s="13" t="s">
        <v>1993</v>
      </c>
    </row>
    <row r="236" spans="1:16" x14ac:dyDescent="0.25">
      <c r="A236" s="7" t="s">
        <v>1968</v>
      </c>
      <c r="B236" s="7" t="str">
        <f>"1501"</f>
        <v>1501</v>
      </c>
      <c r="C236" s="7">
        <v>2020</v>
      </c>
      <c r="D236" s="7" t="s">
        <v>1867</v>
      </c>
      <c r="E236" s="7" t="s">
        <v>1868</v>
      </c>
      <c r="F236" s="7" t="s">
        <v>4028</v>
      </c>
      <c r="G236" s="7" t="s">
        <v>1871</v>
      </c>
      <c r="H236" s="7">
        <v>59310191</v>
      </c>
      <c r="I236" s="7">
        <v>3</v>
      </c>
      <c r="J236" s="7" t="s">
        <v>4029</v>
      </c>
      <c r="K236" s="8">
        <v>13757952</v>
      </c>
      <c r="L236" s="7" t="s">
        <v>3888</v>
      </c>
      <c r="M236" s="7" t="s">
        <v>1915</v>
      </c>
      <c r="N236" s="7" t="s">
        <v>4015</v>
      </c>
      <c r="O236" s="7"/>
      <c r="P236" s="13" t="s">
        <v>1993</v>
      </c>
    </row>
    <row r="237" spans="1:16" x14ac:dyDescent="0.25">
      <c r="A237" s="7" t="s">
        <v>1968</v>
      </c>
      <c r="B237" s="7" t="str">
        <f>"1502"</f>
        <v>1502</v>
      </c>
      <c r="C237" s="7">
        <v>2020</v>
      </c>
      <c r="D237" s="7" t="s">
        <v>1867</v>
      </c>
      <c r="E237" s="7" t="s">
        <v>1868</v>
      </c>
      <c r="F237" s="7" t="s">
        <v>4030</v>
      </c>
      <c r="G237" s="7" t="s">
        <v>1871</v>
      </c>
      <c r="H237" s="7">
        <v>1085285341</v>
      </c>
      <c r="I237" s="7">
        <v>5</v>
      </c>
      <c r="J237" s="7" t="s">
        <v>3521</v>
      </c>
      <c r="K237" s="8">
        <v>13757952</v>
      </c>
      <c r="L237" s="7" t="s">
        <v>3888</v>
      </c>
      <c r="M237" s="7" t="s">
        <v>4031</v>
      </c>
      <c r="N237" s="7" t="s">
        <v>4015</v>
      </c>
      <c r="O237" s="7"/>
      <c r="P237" s="13" t="s">
        <v>1993</v>
      </c>
    </row>
    <row r="238" spans="1:16" ht="45" x14ac:dyDescent="0.25">
      <c r="A238" s="7" t="s">
        <v>1968</v>
      </c>
      <c r="B238" s="7" t="str">
        <f>"1334"</f>
        <v>1334</v>
      </c>
      <c r="C238" s="7">
        <v>2020</v>
      </c>
      <c r="D238" s="7" t="s">
        <v>1867</v>
      </c>
      <c r="E238" s="7" t="s">
        <v>1875</v>
      </c>
      <c r="F238" s="7" t="s">
        <v>3268</v>
      </c>
      <c r="G238" s="7" t="s">
        <v>1871</v>
      </c>
      <c r="H238" s="7">
        <v>16550792</v>
      </c>
      <c r="I238" s="7"/>
      <c r="J238" s="7" t="s">
        <v>1970</v>
      </c>
      <c r="K238" s="8">
        <v>23100000</v>
      </c>
      <c r="L238" s="7" t="s">
        <v>3752</v>
      </c>
      <c r="M238" s="7" t="s">
        <v>3045</v>
      </c>
      <c r="N238" s="7" t="s">
        <v>2156</v>
      </c>
      <c r="O238" s="7"/>
      <c r="P238" s="13" t="s">
        <v>3772</v>
      </c>
    </row>
    <row r="239" spans="1:16" x14ac:dyDescent="0.25">
      <c r="A239" s="7" t="s">
        <v>1968</v>
      </c>
      <c r="B239" s="7" t="str">
        <f>"1400"</f>
        <v>1400</v>
      </c>
      <c r="C239" s="7">
        <v>2020</v>
      </c>
      <c r="D239" s="7" t="s">
        <v>1867</v>
      </c>
      <c r="E239" s="7" t="s">
        <v>1868</v>
      </c>
      <c r="F239" s="7" t="s">
        <v>3871</v>
      </c>
      <c r="G239" s="7" t="s">
        <v>1871</v>
      </c>
      <c r="H239" s="7">
        <v>1085251758</v>
      </c>
      <c r="I239" s="7">
        <v>0</v>
      </c>
      <c r="J239" s="7" t="s">
        <v>3872</v>
      </c>
      <c r="K239" s="8">
        <v>16555262</v>
      </c>
      <c r="L239" s="7" t="s">
        <v>3742</v>
      </c>
      <c r="M239" s="7" t="s">
        <v>1899</v>
      </c>
      <c r="N239" s="7" t="s">
        <v>2156</v>
      </c>
      <c r="O239" s="7"/>
      <c r="P239" s="13" t="s">
        <v>1993</v>
      </c>
    </row>
    <row r="240" spans="1:16" x14ac:dyDescent="0.25">
      <c r="A240" s="7" t="s">
        <v>1968</v>
      </c>
      <c r="B240" s="7" t="str">
        <f>"1401"</f>
        <v>1401</v>
      </c>
      <c r="C240" s="7">
        <v>2020</v>
      </c>
      <c r="D240" s="7" t="s">
        <v>1867</v>
      </c>
      <c r="E240" s="7" t="s">
        <v>1868</v>
      </c>
      <c r="F240" s="7" t="s">
        <v>3873</v>
      </c>
      <c r="G240" s="7" t="s">
        <v>1871</v>
      </c>
      <c r="H240" s="7">
        <v>1085320013</v>
      </c>
      <c r="I240" s="7">
        <v>9</v>
      </c>
      <c r="J240" s="7" t="s">
        <v>3874</v>
      </c>
      <c r="K240" s="8">
        <v>16555262</v>
      </c>
      <c r="L240" s="7" t="s">
        <v>3742</v>
      </c>
      <c r="M240" s="7" t="s">
        <v>3875</v>
      </c>
      <c r="N240" s="7" t="s">
        <v>2156</v>
      </c>
      <c r="O240" s="7"/>
      <c r="P240" s="13" t="s">
        <v>1993</v>
      </c>
    </row>
    <row r="241" spans="1:16" x14ac:dyDescent="0.25">
      <c r="A241" s="7" t="s">
        <v>1968</v>
      </c>
      <c r="B241" s="7" t="str">
        <f>"1547"</f>
        <v>1547</v>
      </c>
      <c r="C241" s="7">
        <v>2020</v>
      </c>
      <c r="D241" s="7" t="s">
        <v>1867</v>
      </c>
      <c r="E241" s="7" t="s">
        <v>1868</v>
      </c>
      <c r="F241" s="7" t="s">
        <v>4110</v>
      </c>
      <c r="G241" s="7" t="s">
        <v>1871</v>
      </c>
      <c r="H241" s="7">
        <v>1086043422</v>
      </c>
      <c r="I241" s="7">
        <v>3</v>
      </c>
      <c r="J241" s="7" t="s">
        <v>3537</v>
      </c>
      <c r="K241" s="8">
        <v>13757952</v>
      </c>
      <c r="L241" s="7" t="s">
        <v>2207</v>
      </c>
      <c r="M241" s="7" t="s">
        <v>4077</v>
      </c>
      <c r="N241" s="7" t="s">
        <v>2156</v>
      </c>
      <c r="O241" s="7"/>
      <c r="P241" s="13" t="s">
        <v>1993</v>
      </c>
    </row>
    <row r="242" spans="1:16" x14ac:dyDescent="0.25">
      <c r="A242" s="7" t="s">
        <v>1968</v>
      </c>
      <c r="B242" s="7" t="str">
        <f>"1551"</f>
        <v>1551</v>
      </c>
      <c r="C242" s="7">
        <v>2020</v>
      </c>
      <c r="D242" s="7" t="s">
        <v>1867</v>
      </c>
      <c r="E242" s="7" t="s">
        <v>1868</v>
      </c>
      <c r="F242" s="7" t="s">
        <v>4114</v>
      </c>
      <c r="G242" s="7" t="s">
        <v>1871</v>
      </c>
      <c r="H242" s="7">
        <v>87573888</v>
      </c>
      <c r="I242" s="7">
        <v>8</v>
      </c>
      <c r="J242" s="7" t="s">
        <v>3520</v>
      </c>
      <c r="K242" s="8">
        <v>13757952</v>
      </c>
      <c r="L242" s="7" t="s">
        <v>2207</v>
      </c>
      <c r="M242" s="7" t="s">
        <v>4077</v>
      </c>
      <c r="N242" s="7" t="s">
        <v>2156</v>
      </c>
      <c r="O242" s="7"/>
      <c r="P242" s="13" t="s">
        <v>1993</v>
      </c>
    </row>
    <row r="243" spans="1:16" x14ac:dyDescent="0.25">
      <c r="A243" s="7" t="s">
        <v>1968</v>
      </c>
      <c r="B243" s="7" t="str">
        <f>"1553"</f>
        <v>1553</v>
      </c>
      <c r="C243" s="7">
        <v>2020</v>
      </c>
      <c r="D243" s="7" t="s">
        <v>1867</v>
      </c>
      <c r="E243" s="7" t="s">
        <v>1868</v>
      </c>
      <c r="F243" s="7" t="s">
        <v>4117</v>
      </c>
      <c r="G243" s="7" t="s">
        <v>1871</v>
      </c>
      <c r="H243" s="7">
        <v>30742824</v>
      </c>
      <c r="I243" s="7">
        <v>6</v>
      </c>
      <c r="J243" s="7" t="s">
        <v>3536</v>
      </c>
      <c r="K243" s="8">
        <v>13757952</v>
      </c>
      <c r="L243" s="7" t="s">
        <v>2207</v>
      </c>
      <c r="M243" s="7" t="s">
        <v>4116</v>
      </c>
      <c r="N243" s="7" t="s">
        <v>2156</v>
      </c>
      <c r="O243" s="7"/>
      <c r="P243" s="13" t="s">
        <v>1993</v>
      </c>
    </row>
    <row r="244" spans="1:16" x14ac:dyDescent="0.25">
      <c r="A244" s="7" t="s">
        <v>1968</v>
      </c>
      <c r="B244" s="7" t="str">
        <f>"1554"</f>
        <v>1554</v>
      </c>
      <c r="C244" s="7">
        <v>2020</v>
      </c>
      <c r="D244" s="7" t="s">
        <v>1867</v>
      </c>
      <c r="E244" s="7" t="s">
        <v>1875</v>
      </c>
      <c r="F244" s="7" t="s">
        <v>4118</v>
      </c>
      <c r="G244" s="7" t="s">
        <v>1871</v>
      </c>
      <c r="H244" s="7">
        <v>1088737693</v>
      </c>
      <c r="I244" s="7">
        <v>1</v>
      </c>
      <c r="J244" s="7" t="s">
        <v>3533</v>
      </c>
      <c r="K244" s="8">
        <v>10000000</v>
      </c>
      <c r="L244" s="7" t="s">
        <v>2207</v>
      </c>
      <c r="M244" s="7" t="s">
        <v>4116</v>
      </c>
      <c r="N244" s="7" t="s">
        <v>2156</v>
      </c>
      <c r="O244" s="7"/>
      <c r="P244" s="13" t="s">
        <v>1993</v>
      </c>
    </row>
    <row r="245" spans="1:16" x14ac:dyDescent="0.25">
      <c r="A245" s="7" t="s">
        <v>1968</v>
      </c>
      <c r="B245" s="7" t="str">
        <f>"1555"</f>
        <v>1555</v>
      </c>
      <c r="C245" s="7">
        <v>2020</v>
      </c>
      <c r="D245" s="7" t="s">
        <v>1867</v>
      </c>
      <c r="E245" s="7" t="s">
        <v>1868</v>
      </c>
      <c r="F245" s="7" t="s">
        <v>4119</v>
      </c>
      <c r="G245" s="7" t="s">
        <v>1871</v>
      </c>
      <c r="H245" s="7">
        <v>1086223613</v>
      </c>
      <c r="I245" s="7">
        <v>8</v>
      </c>
      <c r="J245" s="7" t="s">
        <v>3522</v>
      </c>
      <c r="K245" s="8">
        <v>13757952</v>
      </c>
      <c r="L245" s="7" t="s">
        <v>2207</v>
      </c>
      <c r="M245" s="7" t="s">
        <v>4116</v>
      </c>
      <c r="N245" s="7" t="s">
        <v>2156</v>
      </c>
      <c r="O245" s="7"/>
      <c r="P245" s="13" t="s">
        <v>1993</v>
      </c>
    </row>
    <row r="246" spans="1:16" x14ac:dyDescent="0.25">
      <c r="A246" s="7" t="s">
        <v>1968</v>
      </c>
      <c r="B246" s="7" t="str">
        <f>"1552"</f>
        <v>1552</v>
      </c>
      <c r="C246" s="7">
        <v>2020</v>
      </c>
      <c r="D246" s="7" t="s">
        <v>1867</v>
      </c>
      <c r="E246" s="7" t="s">
        <v>1875</v>
      </c>
      <c r="F246" s="7" t="s">
        <v>4115</v>
      </c>
      <c r="G246" s="7" t="s">
        <v>1871</v>
      </c>
      <c r="H246" s="7">
        <v>1085296307</v>
      </c>
      <c r="I246" s="7">
        <v>6</v>
      </c>
      <c r="J246" s="7" t="s">
        <v>3527</v>
      </c>
      <c r="K246" s="8">
        <v>11200000</v>
      </c>
      <c r="L246" s="7" t="s">
        <v>2207</v>
      </c>
      <c r="M246" s="7" t="s">
        <v>4116</v>
      </c>
      <c r="N246" s="7" t="s">
        <v>4086</v>
      </c>
      <c r="O246" s="7"/>
      <c r="P246" s="13" t="s">
        <v>1993</v>
      </c>
    </row>
    <row r="247" spans="1:16" x14ac:dyDescent="0.25">
      <c r="A247" s="7" t="s">
        <v>1968</v>
      </c>
      <c r="B247" s="7" t="str">
        <f>"1592"</f>
        <v>1592</v>
      </c>
      <c r="C247" s="7">
        <v>2020</v>
      </c>
      <c r="D247" s="7" t="s">
        <v>1867</v>
      </c>
      <c r="E247" s="7" t="s">
        <v>1875</v>
      </c>
      <c r="F247" s="7" t="s">
        <v>4202</v>
      </c>
      <c r="G247" s="7" t="s">
        <v>1871</v>
      </c>
      <c r="H247" s="7">
        <v>27081719</v>
      </c>
      <c r="I247" s="7">
        <v>1</v>
      </c>
      <c r="J247" s="7" t="s">
        <v>3172</v>
      </c>
      <c r="K247" s="8">
        <v>11673576</v>
      </c>
      <c r="L247" s="7" t="s">
        <v>3816</v>
      </c>
      <c r="M247" s="7" t="s">
        <v>4203</v>
      </c>
      <c r="N247" s="7" t="s">
        <v>4204</v>
      </c>
      <c r="O247" s="7"/>
      <c r="P247" s="13" t="s">
        <v>1993</v>
      </c>
    </row>
    <row r="248" spans="1:16" x14ac:dyDescent="0.25">
      <c r="A248" s="7" t="s">
        <v>1968</v>
      </c>
      <c r="B248" s="7" t="str">
        <f>"1593"</f>
        <v>1593</v>
      </c>
      <c r="C248" s="7">
        <v>2020</v>
      </c>
      <c r="D248" s="7" t="s">
        <v>1867</v>
      </c>
      <c r="E248" s="7" t="s">
        <v>1875</v>
      </c>
      <c r="F248" s="7" t="s">
        <v>4202</v>
      </c>
      <c r="G248" s="7" t="s">
        <v>1871</v>
      </c>
      <c r="H248" s="7">
        <v>31447977</v>
      </c>
      <c r="I248" s="7">
        <v>2</v>
      </c>
      <c r="J248" s="7" t="s">
        <v>3698</v>
      </c>
      <c r="K248" s="8">
        <v>11673576</v>
      </c>
      <c r="L248" s="7" t="s">
        <v>3816</v>
      </c>
      <c r="M248" s="7" t="s">
        <v>4203</v>
      </c>
      <c r="N248" s="7" t="s">
        <v>4204</v>
      </c>
      <c r="O248" s="7"/>
      <c r="P248" s="13" t="s">
        <v>1993</v>
      </c>
    </row>
    <row r="249" spans="1:16" x14ac:dyDescent="0.25">
      <c r="A249" s="7" t="s">
        <v>1968</v>
      </c>
      <c r="B249" s="7" t="str">
        <f>"1605"</f>
        <v>1605</v>
      </c>
      <c r="C249" s="7">
        <v>2020</v>
      </c>
      <c r="D249" s="7" t="s">
        <v>1867</v>
      </c>
      <c r="E249" s="7" t="s">
        <v>1868</v>
      </c>
      <c r="F249" s="7" t="s">
        <v>4214</v>
      </c>
      <c r="G249" s="7" t="s">
        <v>1871</v>
      </c>
      <c r="H249" s="7">
        <v>87301563</v>
      </c>
      <c r="I249" s="7">
        <v>3</v>
      </c>
      <c r="J249" s="7" t="s">
        <v>4215</v>
      </c>
      <c r="K249" s="8">
        <v>13757952</v>
      </c>
      <c r="L249" s="7" t="s">
        <v>3875</v>
      </c>
      <c r="M249" s="7" t="s">
        <v>4077</v>
      </c>
      <c r="N249" s="7" t="s">
        <v>4210</v>
      </c>
      <c r="O249" s="7"/>
      <c r="P249" s="13" t="s">
        <v>1993</v>
      </c>
    </row>
    <row r="250" spans="1:16" x14ac:dyDescent="0.25">
      <c r="A250" s="7" t="s">
        <v>1968</v>
      </c>
      <c r="B250" s="7" t="str">
        <f>"1606"</f>
        <v>1606</v>
      </c>
      <c r="C250" s="7">
        <v>2020</v>
      </c>
      <c r="D250" s="7" t="s">
        <v>1867</v>
      </c>
      <c r="E250" s="7" t="s">
        <v>1868</v>
      </c>
      <c r="F250" s="7" t="s">
        <v>4216</v>
      </c>
      <c r="G250" s="7" t="s">
        <v>1871</v>
      </c>
      <c r="H250" s="7">
        <v>27424029</v>
      </c>
      <c r="I250" s="7">
        <v>1</v>
      </c>
      <c r="J250" s="7" t="s">
        <v>3529</v>
      </c>
      <c r="K250" s="8">
        <v>13757952</v>
      </c>
      <c r="L250" s="7" t="s">
        <v>3875</v>
      </c>
      <c r="M250" s="7" t="s">
        <v>4021</v>
      </c>
      <c r="N250" s="7" t="s">
        <v>4210</v>
      </c>
      <c r="O250" s="7"/>
      <c r="P250" s="13" t="s">
        <v>1993</v>
      </c>
    </row>
    <row r="251" spans="1:16" ht="30" x14ac:dyDescent="0.25">
      <c r="A251" s="7" t="s">
        <v>1968</v>
      </c>
      <c r="B251" s="7" t="str">
        <f>"0611"</f>
        <v>0611</v>
      </c>
      <c r="C251" s="7">
        <v>2020</v>
      </c>
      <c r="D251" s="7" t="s">
        <v>1867</v>
      </c>
      <c r="E251" s="7" t="s">
        <v>1868</v>
      </c>
      <c r="F251" s="7" t="s">
        <v>2830</v>
      </c>
      <c r="G251" s="7" t="s">
        <v>1871</v>
      </c>
      <c r="H251" s="7">
        <v>1085258077</v>
      </c>
      <c r="I251" s="7">
        <v>5</v>
      </c>
      <c r="J251" s="7" t="s">
        <v>1976</v>
      </c>
      <c r="K251" s="8">
        <v>37834368</v>
      </c>
      <c r="L251" s="7" t="s">
        <v>1898</v>
      </c>
      <c r="M251" s="7" t="s">
        <v>2204</v>
      </c>
      <c r="N251" s="7" t="s">
        <v>1974</v>
      </c>
      <c r="O251" s="7"/>
      <c r="P251" s="13" t="s">
        <v>2831</v>
      </c>
    </row>
    <row r="252" spans="1:16" ht="45" x14ac:dyDescent="0.25">
      <c r="A252" s="7" t="s">
        <v>1968</v>
      </c>
      <c r="B252" s="7" t="str">
        <f>"1364"</f>
        <v>1364</v>
      </c>
      <c r="C252" s="7">
        <v>2020</v>
      </c>
      <c r="D252" s="7" t="s">
        <v>1867</v>
      </c>
      <c r="E252" s="7" t="s">
        <v>1875</v>
      </c>
      <c r="F252" s="7" t="s">
        <v>3808</v>
      </c>
      <c r="G252" s="7" t="s">
        <v>1871</v>
      </c>
      <c r="H252" s="7">
        <v>1085286747</v>
      </c>
      <c r="I252" s="7">
        <v>0</v>
      </c>
      <c r="J252" s="7" t="s">
        <v>3809</v>
      </c>
      <c r="K252" s="8">
        <v>22400000</v>
      </c>
      <c r="L252" s="7" t="s">
        <v>2925</v>
      </c>
      <c r="M252" s="7" t="s">
        <v>1986</v>
      </c>
      <c r="N252" s="7" t="s">
        <v>1974</v>
      </c>
      <c r="O252" s="7"/>
      <c r="P252" s="13" t="s">
        <v>3810</v>
      </c>
    </row>
    <row r="253" spans="1:16" ht="45" x14ac:dyDescent="0.25">
      <c r="A253" s="7" t="s">
        <v>1968</v>
      </c>
      <c r="B253" s="7" t="str">
        <f>"1365"</f>
        <v>1365</v>
      </c>
      <c r="C253" s="7">
        <v>2020</v>
      </c>
      <c r="D253" s="7" t="s">
        <v>1867</v>
      </c>
      <c r="E253" s="7" t="s">
        <v>1875</v>
      </c>
      <c r="F253" s="7" t="s">
        <v>3811</v>
      </c>
      <c r="G253" s="7" t="s">
        <v>1871</v>
      </c>
      <c r="H253" s="7">
        <v>1085288916</v>
      </c>
      <c r="I253" s="7">
        <v>8</v>
      </c>
      <c r="J253" s="7" t="s">
        <v>3812</v>
      </c>
      <c r="K253" s="8">
        <v>22400000</v>
      </c>
      <c r="L253" s="7" t="s">
        <v>2925</v>
      </c>
      <c r="M253" s="7" t="s">
        <v>3378</v>
      </c>
      <c r="N253" s="7" t="s">
        <v>1974</v>
      </c>
      <c r="O253" s="7"/>
      <c r="P253" s="13" t="s">
        <v>3813</v>
      </c>
    </row>
    <row r="254" spans="1:16" ht="45" x14ac:dyDescent="0.25">
      <c r="A254" s="7" t="s">
        <v>1968</v>
      </c>
      <c r="B254" s="7" t="str">
        <f>"1366"</f>
        <v>1366</v>
      </c>
      <c r="C254" s="7">
        <v>2020</v>
      </c>
      <c r="D254" s="7" t="s">
        <v>1867</v>
      </c>
      <c r="E254" s="7" t="s">
        <v>1875</v>
      </c>
      <c r="F254" s="7" t="s">
        <v>3814</v>
      </c>
      <c r="G254" s="7" t="s">
        <v>1871</v>
      </c>
      <c r="H254" s="7">
        <v>1085338186</v>
      </c>
      <c r="I254" s="7">
        <v>3</v>
      </c>
      <c r="J254" s="7" t="s">
        <v>3815</v>
      </c>
      <c r="K254" s="8">
        <v>22400000</v>
      </c>
      <c r="L254" s="7" t="s">
        <v>2925</v>
      </c>
      <c r="M254" s="7" t="s">
        <v>3816</v>
      </c>
      <c r="N254" s="7" t="s">
        <v>1974</v>
      </c>
      <c r="O254" s="7"/>
      <c r="P254" s="13" t="s">
        <v>3817</v>
      </c>
    </row>
    <row r="255" spans="1:16" ht="45" x14ac:dyDescent="0.25">
      <c r="A255" s="7" t="s">
        <v>1968</v>
      </c>
      <c r="B255" s="7" t="str">
        <f>"1367"</f>
        <v>1367</v>
      </c>
      <c r="C255" s="7">
        <v>2020</v>
      </c>
      <c r="D255" s="7" t="s">
        <v>1867</v>
      </c>
      <c r="E255" s="7" t="s">
        <v>1875</v>
      </c>
      <c r="F255" s="7" t="s">
        <v>3808</v>
      </c>
      <c r="G255" s="7" t="s">
        <v>1871</v>
      </c>
      <c r="H255" s="7">
        <v>59395119</v>
      </c>
      <c r="I255" s="7">
        <v>7</v>
      </c>
      <c r="J255" s="7" t="s">
        <v>3818</v>
      </c>
      <c r="K255" s="8">
        <v>22400000</v>
      </c>
      <c r="L255" s="7" t="s">
        <v>2925</v>
      </c>
      <c r="M255" s="7" t="s">
        <v>1986</v>
      </c>
      <c r="N255" s="7" t="s">
        <v>1974</v>
      </c>
      <c r="O255" s="7"/>
      <c r="P255" s="13" t="s">
        <v>3819</v>
      </c>
    </row>
    <row r="256" spans="1:16" x14ac:dyDescent="0.25">
      <c r="A256" s="7" t="s">
        <v>1968</v>
      </c>
      <c r="B256" s="7" t="str">
        <f>"1648"</f>
        <v>1648</v>
      </c>
      <c r="C256" s="7">
        <v>2020</v>
      </c>
      <c r="D256" s="7" t="s">
        <v>1867</v>
      </c>
      <c r="E256" s="7" t="s">
        <v>1868</v>
      </c>
      <c r="F256" s="7" t="s">
        <v>4250</v>
      </c>
      <c r="G256" s="7" t="s">
        <v>1871</v>
      </c>
      <c r="H256" s="7">
        <v>98400668</v>
      </c>
      <c r="I256" s="7">
        <v>2</v>
      </c>
      <c r="J256" s="7" t="s">
        <v>4251</v>
      </c>
      <c r="K256" s="8">
        <v>13757952</v>
      </c>
      <c r="L256" s="7" t="s">
        <v>1915</v>
      </c>
      <c r="M256" s="7" t="s">
        <v>4203</v>
      </c>
      <c r="N256" s="7" t="s">
        <v>1974</v>
      </c>
      <c r="O256" s="7"/>
      <c r="P256" s="13" t="s">
        <v>1993</v>
      </c>
    </row>
    <row r="257" spans="1:16" x14ac:dyDescent="0.25">
      <c r="A257" s="7" t="s">
        <v>1968</v>
      </c>
      <c r="B257" s="7" t="str">
        <f>"1649"</f>
        <v>1649</v>
      </c>
      <c r="C257" s="7">
        <v>2020</v>
      </c>
      <c r="D257" s="7" t="s">
        <v>1867</v>
      </c>
      <c r="E257" s="7" t="s">
        <v>1868</v>
      </c>
      <c r="F257" s="7" t="s">
        <v>4119</v>
      </c>
      <c r="G257" s="7" t="s">
        <v>1871</v>
      </c>
      <c r="H257" s="7">
        <v>30731639</v>
      </c>
      <c r="I257" s="7">
        <v>0</v>
      </c>
      <c r="J257" s="7" t="s">
        <v>4252</v>
      </c>
      <c r="K257" s="8">
        <v>16000000</v>
      </c>
      <c r="L257" s="7" t="s">
        <v>1915</v>
      </c>
      <c r="M257" s="7" t="s">
        <v>2822</v>
      </c>
      <c r="N257" s="7" t="s">
        <v>1974</v>
      </c>
      <c r="O257" s="7"/>
      <c r="P257" s="13" t="s">
        <v>1993</v>
      </c>
    </row>
    <row r="258" spans="1:16" x14ac:dyDescent="0.25">
      <c r="A258" s="7" t="s">
        <v>1968</v>
      </c>
      <c r="B258" s="7" t="str">
        <f>"1709"</f>
        <v>1709</v>
      </c>
      <c r="C258" s="7">
        <v>2020</v>
      </c>
      <c r="D258" s="7" t="s">
        <v>1867</v>
      </c>
      <c r="E258" s="7" t="s">
        <v>1868</v>
      </c>
      <c r="F258" s="7" t="s">
        <v>4287</v>
      </c>
      <c r="G258" s="7" t="s">
        <v>1871</v>
      </c>
      <c r="H258" s="7">
        <v>30742899</v>
      </c>
      <c r="I258" s="7">
        <v>7</v>
      </c>
      <c r="J258" s="7" t="s">
        <v>3538</v>
      </c>
      <c r="K258" s="8">
        <v>13757952</v>
      </c>
      <c r="L258" s="7" t="s">
        <v>3476</v>
      </c>
      <c r="M258" s="7" t="s">
        <v>3030</v>
      </c>
      <c r="N258" s="7" t="s">
        <v>1974</v>
      </c>
      <c r="O258" s="7"/>
      <c r="P258" s="13" t="s">
        <v>1993</v>
      </c>
    </row>
    <row r="259" spans="1:16" ht="30" x14ac:dyDescent="0.25">
      <c r="A259" s="7" t="s">
        <v>1996</v>
      </c>
      <c r="B259" s="7" t="str">
        <f>"0205"</f>
        <v>0205</v>
      </c>
      <c r="C259" s="7">
        <v>2020</v>
      </c>
      <c r="D259" s="7" t="s">
        <v>1867</v>
      </c>
      <c r="E259" s="7" t="s">
        <v>1868</v>
      </c>
      <c r="F259" s="7" t="s">
        <v>2095</v>
      </c>
      <c r="G259" s="7" t="s">
        <v>1871</v>
      </c>
      <c r="H259" s="7">
        <v>13068195</v>
      </c>
      <c r="I259" s="7">
        <v>8</v>
      </c>
      <c r="J259" s="7" t="s">
        <v>2096</v>
      </c>
      <c r="K259" s="8">
        <v>27515904</v>
      </c>
      <c r="L259" s="7" t="s">
        <v>2090</v>
      </c>
      <c r="M259" s="7" t="s">
        <v>1973</v>
      </c>
      <c r="N259" s="7" t="s">
        <v>2070</v>
      </c>
      <c r="O259" s="7"/>
      <c r="P259" s="13" t="s">
        <v>2097</v>
      </c>
    </row>
    <row r="260" spans="1:16" ht="30" x14ac:dyDescent="0.25">
      <c r="A260" s="7" t="s">
        <v>1996</v>
      </c>
      <c r="B260" s="7" t="str">
        <f>"0206"</f>
        <v>0206</v>
      </c>
      <c r="C260" s="7">
        <v>2020</v>
      </c>
      <c r="D260" s="7" t="s">
        <v>1867</v>
      </c>
      <c r="E260" s="7" t="s">
        <v>1868</v>
      </c>
      <c r="F260" s="7" t="s">
        <v>2098</v>
      </c>
      <c r="G260" s="7" t="s">
        <v>1871</v>
      </c>
      <c r="H260" s="7">
        <v>52962265</v>
      </c>
      <c r="I260" s="7">
        <v>1</v>
      </c>
      <c r="J260" s="7" t="s">
        <v>2099</v>
      </c>
      <c r="K260" s="8">
        <v>27515904</v>
      </c>
      <c r="L260" s="7" t="s">
        <v>2090</v>
      </c>
      <c r="M260" s="7" t="s">
        <v>1973</v>
      </c>
      <c r="N260" s="7" t="s">
        <v>2070</v>
      </c>
      <c r="O260" s="7"/>
      <c r="P260" s="13" t="s">
        <v>2100</v>
      </c>
    </row>
    <row r="261" spans="1:16" ht="30" x14ac:dyDescent="0.25">
      <c r="A261" s="7" t="s">
        <v>1996</v>
      </c>
      <c r="B261" s="7" t="str">
        <f>"0209"</f>
        <v>0209</v>
      </c>
      <c r="C261" s="7">
        <v>2020</v>
      </c>
      <c r="D261" s="7" t="s">
        <v>1867</v>
      </c>
      <c r="E261" s="7" t="s">
        <v>1868</v>
      </c>
      <c r="F261" s="7" t="s">
        <v>2101</v>
      </c>
      <c r="G261" s="7" t="s">
        <v>1871</v>
      </c>
      <c r="H261" s="7">
        <v>87065354</v>
      </c>
      <c r="I261" s="7">
        <v>8</v>
      </c>
      <c r="J261" s="7" t="s">
        <v>2102</v>
      </c>
      <c r="K261" s="8">
        <v>27515904</v>
      </c>
      <c r="L261" s="7" t="s">
        <v>2090</v>
      </c>
      <c r="M261" s="7" t="s">
        <v>1973</v>
      </c>
      <c r="N261" s="7" t="s">
        <v>2070</v>
      </c>
      <c r="O261" s="7"/>
      <c r="P261" s="13" t="s">
        <v>2103</v>
      </c>
    </row>
    <row r="262" spans="1:16" ht="30" x14ac:dyDescent="0.25">
      <c r="A262" s="7" t="s">
        <v>1996</v>
      </c>
      <c r="B262" s="7" t="str">
        <f>"0361"</f>
        <v>0361</v>
      </c>
      <c r="C262" s="7">
        <v>2020</v>
      </c>
      <c r="D262" s="7" t="s">
        <v>1867</v>
      </c>
      <c r="E262" s="7" t="s">
        <v>1868</v>
      </c>
      <c r="F262" s="7" t="s">
        <v>2400</v>
      </c>
      <c r="G262" s="7" t="s">
        <v>1871</v>
      </c>
      <c r="H262" s="7">
        <v>30741560</v>
      </c>
      <c r="I262" s="7">
        <v>1</v>
      </c>
      <c r="J262" s="7" t="s">
        <v>2401</v>
      </c>
      <c r="K262" s="8">
        <v>27515904</v>
      </c>
      <c r="L262" s="7" t="s">
        <v>1898</v>
      </c>
      <c r="M262" s="7" t="s">
        <v>2302</v>
      </c>
      <c r="N262" s="7" t="s">
        <v>2197</v>
      </c>
      <c r="O262" s="7"/>
      <c r="P262" s="13" t="s">
        <v>2402</v>
      </c>
    </row>
    <row r="263" spans="1:16" ht="30" x14ac:dyDescent="0.25">
      <c r="A263" s="7" t="s">
        <v>1996</v>
      </c>
      <c r="B263" s="7" t="str">
        <f>"0362"</f>
        <v>0362</v>
      </c>
      <c r="C263" s="7">
        <v>2020</v>
      </c>
      <c r="D263" s="7" t="s">
        <v>1867</v>
      </c>
      <c r="E263" s="7" t="s">
        <v>1868</v>
      </c>
      <c r="F263" s="7" t="s">
        <v>2403</v>
      </c>
      <c r="G263" s="7" t="s">
        <v>1871</v>
      </c>
      <c r="H263" s="7">
        <v>1085292563</v>
      </c>
      <c r="I263" s="7">
        <v>7</v>
      </c>
      <c r="J263" s="7" t="s">
        <v>2404</v>
      </c>
      <c r="K263" s="8">
        <v>27515904</v>
      </c>
      <c r="L263" s="7" t="s">
        <v>1898</v>
      </c>
      <c r="M263" s="7" t="s">
        <v>2302</v>
      </c>
      <c r="N263" s="7" t="s">
        <v>2197</v>
      </c>
      <c r="O263" s="7"/>
      <c r="P263" s="13" t="s">
        <v>2405</v>
      </c>
    </row>
    <row r="264" spans="1:16" ht="30" x14ac:dyDescent="0.25">
      <c r="A264" s="7" t="s">
        <v>1996</v>
      </c>
      <c r="B264" s="7" t="str">
        <f>"0364"</f>
        <v>0364</v>
      </c>
      <c r="C264" s="7">
        <v>2020</v>
      </c>
      <c r="D264" s="7" t="s">
        <v>1867</v>
      </c>
      <c r="E264" s="7" t="s">
        <v>1868</v>
      </c>
      <c r="F264" s="7" t="s">
        <v>2409</v>
      </c>
      <c r="G264" s="7" t="s">
        <v>1871</v>
      </c>
      <c r="H264" s="7">
        <v>1085302218</v>
      </c>
      <c r="I264" s="7">
        <v>5</v>
      </c>
      <c r="J264" s="7" t="s">
        <v>2410</v>
      </c>
      <c r="K264" s="8">
        <v>27515904</v>
      </c>
      <c r="L264" s="7" t="s">
        <v>1898</v>
      </c>
      <c r="M264" s="7" t="s">
        <v>2306</v>
      </c>
      <c r="N264" s="7" t="s">
        <v>2197</v>
      </c>
      <c r="O264" s="7"/>
      <c r="P264" s="13" t="s">
        <v>2411</v>
      </c>
    </row>
    <row r="265" spans="1:16" ht="30" x14ac:dyDescent="0.25">
      <c r="A265" s="7" t="s">
        <v>1996</v>
      </c>
      <c r="B265" s="7" t="str">
        <f>"0365"</f>
        <v>0365</v>
      </c>
      <c r="C265" s="7">
        <v>2020</v>
      </c>
      <c r="D265" s="7" t="s">
        <v>1867</v>
      </c>
      <c r="E265" s="7" t="s">
        <v>1868</v>
      </c>
      <c r="F265" s="7" t="s">
        <v>2412</v>
      </c>
      <c r="G265" s="7" t="s">
        <v>1871</v>
      </c>
      <c r="H265" s="7">
        <v>1085281050</v>
      </c>
      <c r="I265" s="7">
        <v>3</v>
      </c>
      <c r="J265" s="7" t="s">
        <v>2413</v>
      </c>
      <c r="K265" s="8">
        <v>27515904</v>
      </c>
      <c r="L265" s="7" t="s">
        <v>1898</v>
      </c>
      <c r="M265" s="7" t="s">
        <v>2204</v>
      </c>
      <c r="N265" s="7" t="s">
        <v>2197</v>
      </c>
      <c r="O265" s="7"/>
      <c r="P265" s="13" t="s">
        <v>2414</v>
      </c>
    </row>
    <row r="266" spans="1:16" ht="30" x14ac:dyDescent="0.25">
      <c r="A266" s="7" t="s">
        <v>1996</v>
      </c>
      <c r="B266" s="7" t="str">
        <f>"0366"</f>
        <v>0366</v>
      </c>
      <c r="C266" s="7">
        <v>2020</v>
      </c>
      <c r="D266" s="7" t="s">
        <v>1867</v>
      </c>
      <c r="E266" s="7" t="s">
        <v>1868</v>
      </c>
      <c r="F266" s="7" t="s">
        <v>2415</v>
      </c>
      <c r="G266" s="7" t="s">
        <v>1871</v>
      </c>
      <c r="H266" s="7">
        <v>1087109236</v>
      </c>
      <c r="I266" s="7">
        <v>9</v>
      </c>
      <c r="J266" s="7" t="s">
        <v>2416</v>
      </c>
      <c r="K266" s="8">
        <v>27515904</v>
      </c>
      <c r="L266" s="7" t="s">
        <v>1898</v>
      </c>
      <c r="M266" s="7" t="s">
        <v>2417</v>
      </c>
      <c r="N266" s="7" t="s">
        <v>2197</v>
      </c>
      <c r="O266" s="7"/>
      <c r="P266" s="13" t="s">
        <v>2418</v>
      </c>
    </row>
    <row r="267" spans="1:16" ht="30" x14ac:dyDescent="0.25">
      <c r="A267" s="7" t="s">
        <v>1996</v>
      </c>
      <c r="B267" s="7" t="str">
        <f>"0368"</f>
        <v>0368</v>
      </c>
      <c r="C267" s="7">
        <v>2020</v>
      </c>
      <c r="D267" s="7" t="s">
        <v>1867</v>
      </c>
      <c r="E267" s="7" t="s">
        <v>1868</v>
      </c>
      <c r="F267" s="7" t="s">
        <v>2423</v>
      </c>
      <c r="G267" s="7" t="s">
        <v>1871</v>
      </c>
      <c r="H267" s="7">
        <v>87219817</v>
      </c>
      <c r="I267" s="7">
        <v>9</v>
      </c>
      <c r="J267" s="7" t="s">
        <v>2424</v>
      </c>
      <c r="K267" s="8">
        <v>27515904</v>
      </c>
      <c r="L267" s="7" t="s">
        <v>1898</v>
      </c>
      <c r="M267" s="7" t="s">
        <v>2350</v>
      </c>
      <c r="N267" s="7" t="s">
        <v>2197</v>
      </c>
      <c r="O267" s="7"/>
      <c r="P267" s="13" t="s">
        <v>2425</v>
      </c>
    </row>
    <row r="268" spans="1:16" ht="30" x14ac:dyDescent="0.25">
      <c r="A268" s="7" t="s">
        <v>1996</v>
      </c>
      <c r="B268" s="7" t="str">
        <f>"0372"</f>
        <v>0372</v>
      </c>
      <c r="C268" s="7">
        <v>2020</v>
      </c>
      <c r="D268" s="7" t="s">
        <v>1867</v>
      </c>
      <c r="E268" s="7" t="s">
        <v>1868</v>
      </c>
      <c r="F268" s="7" t="s">
        <v>2434</v>
      </c>
      <c r="G268" s="7" t="s">
        <v>1871</v>
      </c>
      <c r="H268" s="7">
        <v>59676104</v>
      </c>
      <c r="I268" s="7">
        <v>3</v>
      </c>
      <c r="J268" s="7" t="s">
        <v>2435</v>
      </c>
      <c r="K268" s="8">
        <v>27515904</v>
      </c>
      <c r="L268" s="7" t="s">
        <v>1898</v>
      </c>
      <c r="M268" s="7" t="s">
        <v>2246</v>
      </c>
      <c r="N268" s="7" t="s">
        <v>2197</v>
      </c>
      <c r="O268" s="7"/>
      <c r="P268" s="13" t="s">
        <v>2436</v>
      </c>
    </row>
    <row r="269" spans="1:16" ht="30" x14ac:dyDescent="0.25">
      <c r="A269" s="7" t="s">
        <v>1996</v>
      </c>
      <c r="B269" s="7" t="str">
        <f>"0374"</f>
        <v>0374</v>
      </c>
      <c r="C269" s="7">
        <v>2020</v>
      </c>
      <c r="D269" s="7" t="s">
        <v>1867</v>
      </c>
      <c r="E269" s="7" t="s">
        <v>1868</v>
      </c>
      <c r="F269" s="7" t="s">
        <v>2441</v>
      </c>
      <c r="G269" s="7" t="s">
        <v>1871</v>
      </c>
      <c r="H269" s="7">
        <v>52717747</v>
      </c>
      <c r="I269" s="7">
        <v>0</v>
      </c>
      <c r="J269" s="7" t="s">
        <v>2442</v>
      </c>
      <c r="K269" s="8">
        <v>27515904</v>
      </c>
      <c r="L269" s="7" t="s">
        <v>1898</v>
      </c>
      <c r="M269" s="7" t="s">
        <v>2318</v>
      </c>
      <c r="N269" s="7" t="s">
        <v>2197</v>
      </c>
      <c r="O269" s="7"/>
      <c r="P269" s="13" t="s">
        <v>2443</v>
      </c>
    </row>
    <row r="270" spans="1:16" ht="30" x14ac:dyDescent="0.25">
      <c r="A270" s="7" t="s">
        <v>1996</v>
      </c>
      <c r="B270" s="7" t="str">
        <f>"0363"</f>
        <v>0363</v>
      </c>
      <c r="C270" s="7">
        <v>2020</v>
      </c>
      <c r="D270" s="7" t="s">
        <v>1867</v>
      </c>
      <c r="E270" s="7" t="s">
        <v>1875</v>
      </c>
      <c r="F270" s="7" t="s">
        <v>2406</v>
      </c>
      <c r="G270" s="7" t="s">
        <v>1871</v>
      </c>
      <c r="H270" s="7">
        <v>91541296</v>
      </c>
      <c r="I270" s="7">
        <v>5</v>
      </c>
      <c r="J270" s="7" t="s">
        <v>2407</v>
      </c>
      <c r="K270" s="8">
        <v>21200000</v>
      </c>
      <c r="L270" s="7" t="s">
        <v>1898</v>
      </c>
      <c r="M270" s="7" t="s">
        <v>2350</v>
      </c>
      <c r="N270" s="7" t="s">
        <v>2205</v>
      </c>
      <c r="O270" s="7"/>
      <c r="P270" s="13" t="s">
        <v>2408</v>
      </c>
    </row>
    <row r="271" spans="1:16" ht="30" x14ac:dyDescent="0.25">
      <c r="A271" s="7" t="s">
        <v>1996</v>
      </c>
      <c r="B271" s="7" t="str">
        <f>"0369"</f>
        <v>0369</v>
      </c>
      <c r="C271" s="7">
        <v>2020</v>
      </c>
      <c r="D271" s="7" t="s">
        <v>1867</v>
      </c>
      <c r="E271" s="7" t="s">
        <v>1875</v>
      </c>
      <c r="F271" s="7" t="s">
        <v>2426</v>
      </c>
      <c r="G271" s="7" t="s">
        <v>1871</v>
      </c>
      <c r="H271" s="7">
        <v>27090572</v>
      </c>
      <c r="I271" s="7">
        <v>4</v>
      </c>
      <c r="J271" s="7" t="s">
        <v>2427</v>
      </c>
      <c r="K271" s="8">
        <v>15264000</v>
      </c>
      <c r="L271" s="7" t="s">
        <v>1898</v>
      </c>
      <c r="M271" s="7" t="s">
        <v>2350</v>
      </c>
      <c r="N271" s="7" t="s">
        <v>2205</v>
      </c>
      <c r="O271" s="7"/>
      <c r="P271" s="13" t="s">
        <v>2428</v>
      </c>
    </row>
    <row r="272" spans="1:16" ht="30" x14ac:dyDescent="0.25">
      <c r="A272" s="7" t="s">
        <v>1996</v>
      </c>
      <c r="B272" s="7" t="str">
        <f>"0705"</f>
        <v>0705</v>
      </c>
      <c r="C272" s="7">
        <v>2020</v>
      </c>
      <c r="D272" s="7" t="s">
        <v>1867</v>
      </c>
      <c r="E272" s="7" t="s">
        <v>1868</v>
      </c>
      <c r="F272" s="7" t="s">
        <v>2951</v>
      </c>
      <c r="G272" s="7" t="s">
        <v>1871</v>
      </c>
      <c r="H272" s="7">
        <v>79632964</v>
      </c>
      <c r="I272" s="7">
        <v>4</v>
      </c>
      <c r="J272" s="7" t="s">
        <v>2952</v>
      </c>
      <c r="K272" s="8">
        <v>27515904</v>
      </c>
      <c r="L272" s="7" t="s">
        <v>1997</v>
      </c>
      <c r="M272" s="7" t="s">
        <v>2284</v>
      </c>
      <c r="N272" s="7" t="s">
        <v>2903</v>
      </c>
      <c r="O272" s="7"/>
      <c r="P272" s="13" t="s">
        <v>2953</v>
      </c>
    </row>
    <row r="273" spans="1:16" ht="30" x14ac:dyDescent="0.25">
      <c r="A273" s="7" t="s">
        <v>1996</v>
      </c>
      <c r="B273" s="7" t="str">
        <f>"0371"</f>
        <v>0371</v>
      </c>
      <c r="C273" s="7">
        <v>2020</v>
      </c>
      <c r="D273" s="7" t="s">
        <v>1867</v>
      </c>
      <c r="E273" s="7" t="s">
        <v>1875</v>
      </c>
      <c r="F273" s="7" t="s">
        <v>2429</v>
      </c>
      <c r="G273" s="7" t="s">
        <v>1871</v>
      </c>
      <c r="H273" s="7">
        <v>87945647</v>
      </c>
      <c r="I273" s="7">
        <v>7</v>
      </c>
      <c r="J273" s="7" t="s">
        <v>2430</v>
      </c>
      <c r="K273" s="8">
        <v>21200000</v>
      </c>
      <c r="L273" s="7" t="s">
        <v>1980</v>
      </c>
      <c r="M273" s="7" t="s">
        <v>2431</v>
      </c>
      <c r="N273" s="7" t="s">
        <v>2432</v>
      </c>
      <c r="O273" s="7"/>
      <c r="P273" s="13" t="s">
        <v>2433</v>
      </c>
    </row>
    <row r="274" spans="1:16" ht="30" x14ac:dyDescent="0.25">
      <c r="A274" s="7" t="s">
        <v>1996</v>
      </c>
      <c r="B274" s="7" t="str">
        <f>"0758"</f>
        <v>0758</v>
      </c>
      <c r="C274" s="7">
        <v>2020</v>
      </c>
      <c r="D274" s="7" t="s">
        <v>1867</v>
      </c>
      <c r="E274" s="7" t="s">
        <v>1875</v>
      </c>
      <c r="F274" s="7" t="s">
        <v>3019</v>
      </c>
      <c r="G274" s="7" t="s">
        <v>1871</v>
      </c>
      <c r="H274" s="7">
        <v>1085337643</v>
      </c>
      <c r="I274" s="7">
        <v>3</v>
      </c>
      <c r="J274" s="7" t="s">
        <v>3020</v>
      </c>
      <c r="K274" s="8">
        <v>21200000</v>
      </c>
      <c r="L274" s="7" t="s">
        <v>1980</v>
      </c>
      <c r="M274" s="7" t="s">
        <v>2318</v>
      </c>
      <c r="N274" s="7" t="s">
        <v>2432</v>
      </c>
      <c r="O274" s="7"/>
      <c r="P274" s="13" t="s">
        <v>3021</v>
      </c>
    </row>
    <row r="275" spans="1:16" ht="30" x14ac:dyDescent="0.25">
      <c r="A275" s="7" t="s">
        <v>1996</v>
      </c>
      <c r="B275" s="7" t="str">
        <f>"0759"</f>
        <v>0759</v>
      </c>
      <c r="C275" s="7">
        <v>2020</v>
      </c>
      <c r="D275" s="7" t="s">
        <v>1867</v>
      </c>
      <c r="E275" s="7" t="s">
        <v>1868</v>
      </c>
      <c r="F275" s="7" t="s">
        <v>3022</v>
      </c>
      <c r="G275" s="7" t="s">
        <v>1871</v>
      </c>
      <c r="H275" s="7">
        <v>1143826692</v>
      </c>
      <c r="I275" s="7">
        <v>2</v>
      </c>
      <c r="J275" s="7" t="s">
        <v>3023</v>
      </c>
      <c r="K275" s="8">
        <v>27515904</v>
      </c>
      <c r="L275" s="7" t="s">
        <v>1980</v>
      </c>
      <c r="M275" s="7" t="s">
        <v>2204</v>
      </c>
      <c r="N275" s="7" t="s">
        <v>2432</v>
      </c>
      <c r="O275" s="7"/>
      <c r="P275" s="13" t="s">
        <v>3024</v>
      </c>
    </row>
    <row r="276" spans="1:16" ht="30" x14ac:dyDescent="0.25">
      <c r="A276" s="7" t="s">
        <v>1996</v>
      </c>
      <c r="B276" s="7" t="str">
        <f>"1122"</f>
        <v>1122</v>
      </c>
      <c r="C276" s="7">
        <v>2020</v>
      </c>
      <c r="D276" s="7" t="s">
        <v>1867</v>
      </c>
      <c r="E276" s="7" t="s">
        <v>1868</v>
      </c>
      <c r="F276" s="7" t="s">
        <v>3605</v>
      </c>
      <c r="G276" s="7" t="s">
        <v>1871</v>
      </c>
      <c r="H276" s="7">
        <v>30234387</v>
      </c>
      <c r="I276" s="7">
        <v>9</v>
      </c>
      <c r="J276" s="7" t="s">
        <v>3606</v>
      </c>
      <c r="K276" s="8">
        <v>27515904</v>
      </c>
      <c r="L276" s="7" t="s">
        <v>2417</v>
      </c>
      <c r="M276" s="7" t="s">
        <v>3173</v>
      </c>
      <c r="N276" s="7" t="s">
        <v>3607</v>
      </c>
      <c r="O276" s="7"/>
      <c r="P276" s="13" t="s">
        <v>3608</v>
      </c>
    </row>
    <row r="277" spans="1:16" ht="45" x14ac:dyDescent="0.25">
      <c r="A277" s="7" t="s">
        <v>1996</v>
      </c>
      <c r="B277" s="7" t="str">
        <f>"1535"</f>
        <v>1535</v>
      </c>
      <c r="C277" s="7">
        <v>2020</v>
      </c>
      <c r="D277" s="7" t="s">
        <v>1867</v>
      </c>
      <c r="E277" s="7" t="s">
        <v>1868</v>
      </c>
      <c r="F277" s="7" t="s">
        <v>4082</v>
      </c>
      <c r="G277" s="7" t="s">
        <v>1871</v>
      </c>
      <c r="H277" s="7">
        <v>1085323938</v>
      </c>
      <c r="I277" s="7">
        <v>1</v>
      </c>
      <c r="J277" s="7" t="s">
        <v>4083</v>
      </c>
      <c r="K277" s="8">
        <v>13757952</v>
      </c>
      <c r="L277" s="7" t="s">
        <v>2207</v>
      </c>
      <c r="M277" s="7" t="s">
        <v>2124</v>
      </c>
      <c r="N277" s="7" t="s">
        <v>2156</v>
      </c>
      <c r="O277" s="7"/>
      <c r="P277" s="13" t="s">
        <v>4084</v>
      </c>
    </row>
    <row r="278" spans="1:16" x14ac:dyDescent="0.25">
      <c r="A278" s="7" t="s">
        <v>1996</v>
      </c>
      <c r="B278" s="7" t="str">
        <f>"1602"</f>
        <v>1602</v>
      </c>
      <c r="C278" s="7">
        <v>2020</v>
      </c>
      <c r="D278" s="7" t="s">
        <v>1867</v>
      </c>
      <c r="E278" s="7" t="s">
        <v>1868</v>
      </c>
      <c r="F278" s="7" t="s">
        <v>4212</v>
      </c>
      <c r="G278" s="7" t="s">
        <v>1871</v>
      </c>
      <c r="H278" s="7">
        <v>13069778</v>
      </c>
      <c r="I278" s="7">
        <v>1</v>
      </c>
      <c r="J278" s="7" t="s">
        <v>4213</v>
      </c>
      <c r="K278" s="8">
        <v>13757952</v>
      </c>
      <c r="L278" s="7" t="s">
        <v>3875</v>
      </c>
      <c r="M278" s="7" t="s">
        <v>3947</v>
      </c>
      <c r="N278" s="7" t="s">
        <v>4210</v>
      </c>
      <c r="O278" s="7"/>
      <c r="P278" s="13" t="s">
        <v>1993</v>
      </c>
    </row>
    <row r="279" spans="1:16" ht="30" x14ac:dyDescent="0.25">
      <c r="A279" s="7" t="s">
        <v>1996</v>
      </c>
      <c r="B279" s="7" t="str">
        <f>"1277"</f>
        <v>1277</v>
      </c>
      <c r="C279" s="7">
        <v>2020</v>
      </c>
      <c r="D279" s="7" t="s">
        <v>1867</v>
      </c>
      <c r="E279" s="7" t="s">
        <v>1875</v>
      </c>
      <c r="F279" s="7" t="s">
        <v>3736</v>
      </c>
      <c r="G279" s="7" t="s">
        <v>1871</v>
      </c>
      <c r="H279" s="7">
        <v>900007485</v>
      </c>
      <c r="I279" s="7">
        <v>5</v>
      </c>
      <c r="J279" s="7" t="s">
        <v>3737</v>
      </c>
      <c r="K279" s="8">
        <v>18992875</v>
      </c>
      <c r="L279" s="7" t="s">
        <v>2246</v>
      </c>
      <c r="M279" s="7" t="s">
        <v>3251</v>
      </c>
      <c r="N279" s="7" t="s">
        <v>1974</v>
      </c>
      <c r="O279" s="7"/>
      <c r="P279" s="13" t="s">
        <v>3738</v>
      </c>
    </row>
    <row r="280" spans="1:16" ht="30" x14ac:dyDescent="0.25">
      <c r="A280" s="7" t="s">
        <v>1996</v>
      </c>
      <c r="B280" s="7" t="str">
        <f>"1278"</f>
        <v>1278</v>
      </c>
      <c r="C280" s="7">
        <v>2020</v>
      </c>
      <c r="D280" s="7" t="s">
        <v>1867</v>
      </c>
      <c r="E280" s="7" t="s">
        <v>1875</v>
      </c>
      <c r="F280" s="7" t="s">
        <v>3739</v>
      </c>
      <c r="G280" s="7" t="s">
        <v>1871</v>
      </c>
      <c r="H280" s="7">
        <v>800037234</v>
      </c>
      <c r="I280" s="7">
        <v>9</v>
      </c>
      <c r="J280" s="7" t="s">
        <v>3740</v>
      </c>
      <c r="K280" s="8">
        <v>18992875</v>
      </c>
      <c r="L280" s="7" t="s">
        <v>2246</v>
      </c>
      <c r="M280" s="7" t="s">
        <v>3251</v>
      </c>
      <c r="N280" s="7" t="s">
        <v>1974</v>
      </c>
      <c r="O280" s="7"/>
      <c r="P280" s="13" t="s">
        <v>3741</v>
      </c>
    </row>
    <row r="281" spans="1:16" ht="30" x14ac:dyDescent="0.25">
      <c r="A281" s="7" t="s">
        <v>1894</v>
      </c>
      <c r="B281" s="7" t="str">
        <f>"0331"</f>
        <v>0331</v>
      </c>
      <c r="C281" s="7">
        <v>2020</v>
      </c>
      <c r="D281" s="7" t="s">
        <v>1867</v>
      </c>
      <c r="E281" s="7" t="s">
        <v>1868</v>
      </c>
      <c r="F281" s="7" t="s">
        <v>2336</v>
      </c>
      <c r="G281" s="7" t="s">
        <v>1871</v>
      </c>
      <c r="H281" s="7">
        <v>1085327448</v>
      </c>
      <c r="I281" s="7">
        <v>0</v>
      </c>
      <c r="J281" s="7" t="s">
        <v>2337</v>
      </c>
      <c r="K281" s="8">
        <v>27515904</v>
      </c>
      <c r="L281" s="7" t="s">
        <v>1898</v>
      </c>
      <c r="M281" s="7" t="s">
        <v>2235</v>
      </c>
      <c r="N281" s="7" t="s">
        <v>2167</v>
      </c>
      <c r="O281" s="7"/>
      <c r="P281" s="13" t="s">
        <v>2338</v>
      </c>
    </row>
    <row r="282" spans="1:16" ht="30" x14ac:dyDescent="0.25">
      <c r="A282" s="7" t="s">
        <v>1894</v>
      </c>
      <c r="B282" s="7" t="str">
        <f>"1315"</f>
        <v>1315</v>
      </c>
      <c r="C282" s="7">
        <v>2020</v>
      </c>
      <c r="D282" s="7" t="s">
        <v>1867</v>
      </c>
      <c r="E282" s="7" t="s">
        <v>1868</v>
      </c>
      <c r="F282" s="7" t="s">
        <v>3762</v>
      </c>
      <c r="G282" s="7" t="s">
        <v>1871</v>
      </c>
      <c r="H282" s="7">
        <v>12994890</v>
      </c>
      <c r="I282" s="7">
        <v>7</v>
      </c>
      <c r="J282" s="7" t="s">
        <v>3763</v>
      </c>
      <c r="K282" s="8">
        <v>24000000</v>
      </c>
      <c r="L282" s="7" t="s">
        <v>2439</v>
      </c>
      <c r="M282" s="7" t="s">
        <v>3388</v>
      </c>
      <c r="N282" s="7" t="s">
        <v>3358</v>
      </c>
      <c r="O282" s="7"/>
      <c r="P282" s="13" t="s">
        <v>3764</v>
      </c>
    </row>
    <row r="283" spans="1:16" ht="30" x14ac:dyDescent="0.25">
      <c r="A283" s="7" t="s">
        <v>1894</v>
      </c>
      <c r="B283" s="7" t="str">
        <f>"0319"</f>
        <v>0319</v>
      </c>
      <c r="C283" s="7">
        <v>2020</v>
      </c>
      <c r="D283" s="7" t="s">
        <v>1867</v>
      </c>
      <c r="E283" s="7" t="s">
        <v>1868</v>
      </c>
      <c r="F283" s="7" t="s">
        <v>2300</v>
      </c>
      <c r="G283" s="7" t="s">
        <v>1871</v>
      </c>
      <c r="H283" s="7">
        <v>1085260623</v>
      </c>
      <c r="I283" s="7">
        <v>3</v>
      </c>
      <c r="J283" s="7" t="s">
        <v>2301</v>
      </c>
      <c r="K283" s="8">
        <v>27515904</v>
      </c>
      <c r="L283" s="7" t="s">
        <v>1898</v>
      </c>
      <c r="M283" s="7" t="s">
        <v>2302</v>
      </c>
      <c r="N283" s="7" t="s">
        <v>2197</v>
      </c>
      <c r="O283" s="7"/>
      <c r="P283" s="13" t="s">
        <v>2303</v>
      </c>
    </row>
    <row r="284" spans="1:16" ht="30" x14ac:dyDescent="0.25">
      <c r="A284" s="7" t="s">
        <v>1894</v>
      </c>
      <c r="B284" s="7" t="str">
        <f>"0320"</f>
        <v>0320</v>
      </c>
      <c r="C284" s="7">
        <v>2020</v>
      </c>
      <c r="D284" s="7" t="s">
        <v>1867</v>
      </c>
      <c r="E284" s="7" t="s">
        <v>1868</v>
      </c>
      <c r="F284" s="7" t="s">
        <v>2304</v>
      </c>
      <c r="G284" s="7" t="s">
        <v>1871</v>
      </c>
      <c r="H284" s="7">
        <v>1085317843</v>
      </c>
      <c r="I284" s="7">
        <v>4</v>
      </c>
      <c r="J284" s="7" t="s">
        <v>2305</v>
      </c>
      <c r="K284" s="8">
        <v>27515904</v>
      </c>
      <c r="L284" s="7" t="s">
        <v>1898</v>
      </c>
      <c r="M284" s="7" t="s">
        <v>2306</v>
      </c>
      <c r="N284" s="7" t="s">
        <v>2197</v>
      </c>
      <c r="O284" s="7"/>
      <c r="P284" s="13" t="s">
        <v>2307</v>
      </c>
    </row>
    <row r="285" spans="1:16" ht="30" x14ac:dyDescent="0.25">
      <c r="A285" s="7" t="s">
        <v>1894</v>
      </c>
      <c r="B285" s="7" t="str">
        <f>"0321"</f>
        <v>0321</v>
      </c>
      <c r="C285" s="7">
        <v>2020</v>
      </c>
      <c r="D285" s="7" t="s">
        <v>1867</v>
      </c>
      <c r="E285" s="7" t="s">
        <v>1868</v>
      </c>
      <c r="F285" s="7" t="s">
        <v>2308</v>
      </c>
      <c r="G285" s="7" t="s">
        <v>1871</v>
      </c>
      <c r="H285" s="7">
        <v>1085338629</v>
      </c>
      <c r="I285" s="7">
        <v>4</v>
      </c>
      <c r="J285" s="7" t="s">
        <v>2309</v>
      </c>
      <c r="K285" s="8">
        <v>27515904</v>
      </c>
      <c r="L285" s="7" t="s">
        <v>1898</v>
      </c>
      <c r="M285" s="7" t="s">
        <v>2235</v>
      </c>
      <c r="N285" s="7" t="s">
        <v>2197</v>
      </c>
      <c r="O285" s="7"/>
      <c r="P285" s="13" t="s">
        <v>2310</v>
      </c>
    </row>
    <row r="286" spans="1:16" ht="30" x14ac:dyDescent="0.25">
      <c r="A286" s="7" t="s">
        <v>1894</v>
      </c>
      <c r="B286" s="7" t="str">
        <f>"0326"</f>
        <v>0326</v>
      </c>
      <c r="C286" s="7">
        <v>2020</v>
      </c>
      <c r="D286" s="7" t="s">
        <v>1867</v>
      </c>
      <c r="E286" s="7" t="s">
        <v>1868</v>
      </c>
      <c r="F286" s="7" t="s">
        <v>2320</v>
      </c>
      <c r="G286" s="7" t="s">
        <v>1871</v>
      </c>
      <c r="H286" s="7">
        <v>1085295777</v>
      </c>
      <c r="I286" s="7">
        <v>1</v>
      </c>
      <c r="J286" s="7" t="s">
        <v>1904</v>
      </c>
      <c r="K286" s="8">
        <v>27515904</v>
      </c>
      <c r="L286" s="7" t="s">
        <v>1898</v>
      </c>
      <c r="M286" s="7" t="s">
        <v>2321</v>
      </c>
      <c r="N286" s="7" t="s">
        <v>2197</v>
      </c>
      <c r="O286" s="7"/>
      <c r="P286" s="13" t="s">
        <v>2322</v>
      </c>
    </row>
    <row r="287" spans="1:16" ht="30" x14ac:dyDescent="0.25">
      <c r="A287" s="7" t="s">
        <v>1894</v>
      </c>
      <c r="B287" s="7" t="str">
        <f>"0327"</f>
        <v>0327</v>
      </c>
      <c r="C287" s="7">
        <v>2020</v>
      </c>
      <c r="D287" s="7" t="s">
        <v>1867</v>
      </c>
      <c r="E287" s="7" t="s">
        <v>1868</v>
      </c>
      <c r="F287" s="7" t="s">
        <v>2323</v>
      </c>
      <c r="G287" s="7" t="s">
        <v>1871</v>
      </c>
      <c r="H287" s="7">
        <v>59312191</v>
      </c>
      <c r="I287" s="7">
        <v>2</v>
      </c>
      <c r="J287" s="7" t="s">
        <v>2324</v>
      </c>
      <c r="K287" s="8">
        <v>27515904</v>
      </c>
      <c r="L287" s="7" t="s">
        <v>1898</v>
      </c>
      <c r="M287" s="7" t="s">
        <v>2204</v>
      </c>
      <c r="N287" s="7" t="s">
        <v>2197</v>
      </c>
      <c r="O287" s="7"/>
      <c r="P287" s="13" t="s">
        <v>2325</v>
      </c>
    </row>
    <row r="288" spans="1:16" ht="30" x14ac:dyDescent="0.25">
      <c r="A288" s="7" t="s">
        <v>1894</v>
      </c>
      <c r="B288" s="7" t="str">
        <f>"0328"</f>
        <v>0328</v>
      </c>
      <c r="C288" s="7">
        <v>2020</v>
      </c>
      <c r="D288" s="7" t="s">
        <v>1867</v>
      </c>
      <c r="E288" s="7" t="s">
        <v>1868</v>
      </c>
      <c r="F288" s="7" t="s">
        <v>2326</v>
      </c>
      <c r="G288" s="7" t="s">
        <v>1871</v>
      </c>
      <c r="H288" s="7">
        <v>1085901707</v>
      </c>
      <c r="I288" s="7">
        <v>5</v>
      </c>
      <c r="J288" s="7" t="s">
        <v>2327</v>
      </c>
      <c r="K288" s="8">
        <v>27515904</v>
      </c>
      <c r="L288" s="7" t="s">
        <v>1898</v>
      </c>
      <c r="M288" s="7" t="s">
        <v>2204</v>
      </c>
      <c r="N288" s="7" t="s">
        <v>2197</v>
      </c>
      <c r="O288" s="7"/>
      <c r="P288" s="13" t="s">
        <v>2328</v>
      </c>
    </row>
    <row r="289" spans="1:16" ht="30" x14ac:dyDescent="0.25">
      <c r="A289" s="7" t="s">
        <v>1894</v>
      </c>
      <c r="B289" s="7" t="str">
        <f>"0329"</f>
        <v>0329</v>
      </c>
      <c r="C289" s="7">
        <v>2020</v>
      </c>
      <c r="D289" s="7" t="s">
        <v>1867</v>
      </c>
      <c r="E289" s="7" t="s">
        <v>1868</v>
      </c>
      <c r="F289" s="7" t="s">
        <v>2329</v>
      </c>
      <c r="G289" s="7" t="s">
        <v>1871</v>
      </c>
      <c r="H289" s="7">
        <v>87102459</v>
      </c>
      <c r="I289" s="7">
        <v>1</v>
      </c>
      <c r="J289" s="7" t="s">
        <v>2330</v>
      </c>
      <c r="K289" s="8">
        <v>27515904</v>
      </c>
      <c r="L289" s="7" t="s">
        <v>1898</v>
      </c>
      <c r="M289" s="7" t="s">
        <v>2331</v>
      </c>
      <c r="N289" s="7" t="s">
        <v>2197</v>
      </c>
      <c r="O289" s="7"/>
      <c r="P289" s="13" t="s">
        <v>2332</v>
      </c>
    </row>
    <row r="290" spans="1:16" ht="30" x14ac:dyDescent="0.25">
      <c r="A290" s="7" t="s">
        <v>1894</v>
      </c>
      <c r="B290" s="7" t="str">
        <f>"0330"</f>
        <v>0330</v>
      </c>
      <c r="C290" s="7">
        <v>2020</v>
      </c>
      <c r="D290" s="7" t="s">
        <v>1867</v>
      </c>
      <c r="E290" s="7" t="s">
        <v>1989</v>
      </c>
      <c r="F290" s="7" t="s">
        <v>2333</v>
      </c>
      <c r="G290" s="7" t="s">
        <v>1871</v>
      </c>
      <c r="H290" s="7">
        <v>1085309713</v>
      </c>
      <c r="I290" s="7">
        <v>1</v>
      </c>
      <c r="J290" s="7" t="s">
        <v>2334</v>
      </c>
      <c r="K290" s="8">
        <v>27515904</v>
      </c>
      <c r="L290" s="7" t="s">
        <v>1898</v>
      </c>
      <c r="M290" s="7" t="s">
        <v>2239</v>
      </c>
      <c r="N290" s="7" t="s">
        <v>2197</v>
      </c>
      <c r="O290" s="7"/>
      <c r="P290" s="13" t="s">
        <v>2335</v>
      </c>
    </row>
    <row r="291" spans="1:16" ht="30" x14ac:dyDescent="0.25">
      <c r="A291" s="7" t="s">
        <v>1894</v>
      </c>
      <c r="B291" s="7" t="str">
        <f>"0332"</f>
        <v>0332</v>
      </c>
      <c r="C291" s="7">
        <v>2020</v>
      </c>
      <c r="D291" s="7" t="s">
        <v>1867</v>
      </c>
      <c r="E291" s="7" t="s">
        <v>1868</v>
      </c>
      <c r="F291" s="7" t="s">
        <v>2339</v>
      </c>
      <c r="G291" s="7" t="s">
        <v>1871</v>
      </c>
      <c r="H291" s="7">
        <v>12993439</v>
      </c>
      <c r="I291" s="7">
        <v>3</v>
      </c>
      <c r="J291" s="7" t="s">
        <v>2340</v>
      </c>
      <c r="K291" s="8">
        <v>27515904</v>
      </c>
      <c r="L291" s="7" t="s">
        <v>1898</v>
      </c>
      <c r="M291" s="7" t="s">
        <v>2318</v>
      </c>
      <c r="N291" s="7" t="s">
        <v>2197</v>
      </c>
      <c r="O291" s="7"/>
      <c r="P291" s="13" t="s">
        <v>2341</v>
      </c>
    </row>
    <row r="292" spans="1:16" ht="30" x14ac:dyDescent="0.25">
      <c r="A292" s="7" t="s">
        <v>1894</v>
      </c>
      <c r="B292" s="7" t="str">
        <f>"0335"</f>
        <v>0335</v>
      </c>
      <c r="C292" s="7">
        <v>2020</v>
      </c>
      <c r="D292" s="7" t="s">
        <v>1867</v>
      </c>
      <c r="E292" s="7" t="s">
        <v>1868</v>
      </c>
      <c r="F292" s="7" t="s">
        <v>2342</v>
      </c>
      <c r="G292" s="7" t="s">
        <v>1871</v>
      </c>
      <c r="H292" s="7">
        <v>59795269</v>
      </c>
      <c r="I292" s="7">
        <v>1</v>
      </c>
      <c r="J292" s="7" t="s">
        <v>2343</v>
      </c>
      <c r="K292" s="8">
        <v>36000000</v>
      </c>
      <c r="L292" s="7" t="s">
        <v>1898</v>
      </c>
      <c r="M292" s="7" t="s">
        <v>2318</v>
      </c>
      <c r="N292" s="7" t="s">
        <v>2197</v>
      </c>
      <c r="O292" s="7"/>
      <c r="P292" s="13" t="s">
        <v>2344</v>
      </c>
    </row>
    <row r="293" spans="1:16" ht="30" x14ac:dyDescent="0.25">
      <c r="A293" s="7" t="s">
        <v>1894</v>
      </c>
      <c r="B293" s="7" t="str">
        <f>"0336"</f>
        <v>0336</v>
      </c>
      <c r="C293" s="7">
        <v>2020</v>
      </c>
      <c r="D293" s="7" t="s">
        <v>1867</v>
      </c>
      <c r="E293" s="7" t="s">
        <v>1875</v>
      </c>
      <c r="F293" s="7" t="s">
        <v>2345</v>
      </c>
      <c r="G293" s="7" t="s">
        <v>1871</v>
      </c>
      <c r="H293" s="7">
        <v>1049632494</v>
      </c>
      <c r="I293" s="7">
        <v>6</v>
      </c>
      <c r="J293" s="7" t="s">
        <v>2346</v>
      </c>
      <c r="K293" s="8">
        <v>21200000</v>
      </c>
      <c r="L293" s="7" t="s">
        <v>1898</v>
      </c>
      <c r="M293" s="7" t="s">
        <v>2204</v>
      </c>
      <c r="N293" s="7" t="s">
        <v>2197</v>
      </c>
      <c r="O293" s="7"/>
      <c r="P293" s="13" t="s">
        <v>2347</v>
      </c>
    </row>
    <row r="294" spans="1:16" ht="30" x14ac:dyDescent="0.25">
      <c r="A294" s="7" t="s">
        <v>1894</v>
      </c>
      <c r="B294" s="7" t="str">
        <f>"0338"</f>
        <v>0338</v>
      </c>
      <c r="C294" s="7">
        <v>2020</v>
      </c>
      <c r="D294" s="7" t="s">
        <v>1867</v>
      </c>
      <c r="E294" s="7" t="s">
        <v>1875</v>
      </c>
      <c r="F294" s="7" t="s">
        <v>2352</v>
      </c>
      <c r="G294" s="7" t="s">
        <v>1871</v>
      </c>
      <c r="H294" s="7">
        <v>1085261562</v>
      </c>
      <c r="I294" s="7">
        <v>7</v>
      </c>
      <c r="J294" s="7" t="s">
        <v>2353</v>
      </c>
      <c r="K294" s="8">
        <v>21200000</v>
      </c>
      <c r="L294" s="7" t="s">
        <v>1898</v>
      </c>
      <c r="M294" s="7" t="s">
        <v>2204</v>
      </c>
      <c r="N294" s="7" t="s">
        <v>2197</v>
      </c>
      <c r="O294" s="7"/>
      <c r="P294" s="13" t="s">
        <v>2354</v>
      </c>
    </row>
    <row r="295" spans="1:16" ht="30" x14ac:dyDescent="0.25">
      <c r="A295" s="7" t="s">
        <v>1894</v>
      </c>
      <c r="B295" s="7" t="str">
        <f>"0340"</f>
        <v>0340</v>
      </c>
      <c r="C295" s="7">
        <v>2020</v>
      </c>
      <c r="D295" s="7" t="s">
        <v>1867</v>
      </c>
      <c r="E295" s="7" t="s">
        <v>1875</v>
      </c>
      <c r="F295" s="7" t="s">
        <v>2355</v>
      </c>
      <c r="G295" s="7" t="s">
        <v>1871</v>
      </c>
      <c r="H295" s="7">
        <v>5228403</v>
      </c>
      <c r="I295" s="7">
        <v>3</v>
      </c>
      <c r="J295" s="7" t="s">
        <v>2356</v>
      </c>
      <c r="K295" s="8">
        <v>21200000</v>
      </c>
      <c r="L295" s="7" t="s">
        <v>1898</v>
      </c>
      <c r="M295" s="7" t="s">
        <v>2318</v>
      </c>
      <c r="N295" s="7" t="s">
        <v>2197</v>
      </c>
      <c r="O295" s="7"/>
      <c r="P295" s="13" t="s">
        <v>2357</v>
      </c>
    </row>
    <row r="296" spans="1:16" ht="30" x14ac:dyDescent="0.25">
      <c r="A296" s="7" t="s">
        <v>1894</v>
      </c>
      <c r="B296" s="7" t="str">
        <f>"0342"</f>
        <v>0342</v>
      </c>
      <c r="C296" s="7">
        <v>2020</v>
      </c>
      <c r="D296" s="7" t="s">
        <v>1867</v>
      </c>
      <c r="E296" s="7" t="s">
        <v>1868</v>
      </c>
      <c r="F296" s="7" t="s">
        <v>2358</v>
      </c>
      <c r="G296" s="7" t="s">
        <v>1871</v>
      </c>
      <c r="H296" s="7">
        <v>1061738070</v>
      </c>
      <c r="I296" s="7">
        <v>7</v>
      </c>
      <c r="J296" s="7" t="s">
        <v>2359</v>
      </c>
      <c r="K296" s="8">
        <v>27515904</v>
      </c>
      <c r="L296" s="7" t="s">
        <v>1898</v>
      </c>
      <c r="M296" s="7" t="s">
        <v>2204</v>
      </c>
      <c r="N296" s="7" t="s">
        <v>2197</v>
      </c>
      <c r="O296" s="7"/>
      <c r="P296" s="13" t="s">
        <v>2360</v>
      </c>
    </row>
    <row r="297" spans="1:16" ht="30" x14ac:dyDescent="0.25">
      <c r="A297" s="7" t="s">
        <v>1894</v>
      </c>
      <c r="B297" s="7" t="str">
        <f>"0344"</f>
        <v>0344</v>
      </c>
      <c r="C297" s="7">
        <v>2020</v>
      </c>
      <c r="D297" s="7" t="s">
        <v>1867</v>
      </c>
      <c r="E297" s="7" t="s">
        <v>1868</v>
      </c>
      <c r="F297" s="7" t="s">
        <v>2363</v>
      </c>
      <c r="G297" s="7" t="s">
        <v>1871</v>
      </c>
      <c r="H297" s="7">
        <v>1085256865</v>
      </c>
      <c r="I297" s="7">
        <v>3</v>
      </c>
      <c r="J297" s="7" t="s">
        <v>2364</v>
      </c>
      <c r="K297" s="8">
        <v>27515904</v>
      </c>
      <c r="L297" s="7" t="s">
        <v>1898</v>
      </c>
      <c r="M297" s="7" t="s">
        <v>2318</v>
      </c>
      <c r="N297" s="7" t="s">
        <v>2197</v>
      </c>
      <c r="O297" s="7"/>
      <c r="P297" s="13" t="s">
        <v>2365</v>
      </c>
    </row>
    <row r="298" spans="1:16" ht="30" x14ac:dyDescent="0.25">
      <c r="A298" s="7" t="s">
        <v>1894</v>
      </c>
      <c r="B298" s="7" t="str">
        <f>"0345"</f>
        <v>0345</v>
      </c>
      <c r="C298" s="7">
        <v>2020</v>
      </c>
      <c r="D298" s="7" t="s">
        <v>1867</v>
      </c>
      <c r="E298" s="7" t="s">
        <v>1868</v>
      </c>
      <c r="F298" s="7" t="s">
        <v>2366</v>
      </c>
      <c r="G298" s="7" t="s">
        <v>1871</v>
      </c>
      <c r="H298" s="7">
        <v>37083490</v>
      </c>
      <c r="I298" s="7">
        <v>6</v>
      </c>
      <c r="J298" s="7" t="s">
        <v>2367</v>
      </c>
      <c r="K298" s="8">
        <v>27515904</v>
      </c>
      <c r="L298" s="7" t="s">
        <v>1898</v>
      </c>
      <c r="M298" s="7" t="s">
        <v>2306</v>
      </c>
      <c r="N298" s="7" t="s">
        <v>2197</v>
      </c>
      <c r="O298" s="7" t="s">
        <v>2368</v>
      </c>
      <c r="P298" s="13" t="s">
        <v>2369</v>
      </c>
    </row>
    <row r="299" spans="1:16" ht="30" x14ac:dyDescent="0.25">
      <c r="A299" s="7" t="s">
        <v>1894</v>
      </c>
      <c r="B299" s="7" t="str">
        <f>"0347"</f>
        <v>0347</v>
      </c>
      <c r="C299" s="7">
        <v>2020</v>
      </c>
      <c r="D299" s="7" t="s">
        <v>1867</v>
      </c>
      <c r="E299" s="7" t="s">
        <v>1868</v>
      </c>
      <c r="F299" s="7" t="s">
        <v>2370</v>
      </c>
      <c r="G299" s="7" t="s">
        <v>1871</v>
      </c>
      <c r="H299" s="7">
        <v>59831133</v>
      </c>
      <c r="I299" s="7">
        <v>1</v>
      </c>
      <c r="J299" s="7" t="s">
        <v>2371</v>
      </c>
      <c r="K299" s="8">
        <v>27515904</v>
      </c>
      <c r="L299" s="7" t="s">
        <v>1898</v>
      </c>
      <c r="M299" s="7" t="s">
        <v>2239</v>
      </c>
      <c r="N299" s="7" t="s">
        <v>2197</v>
      </c>
      <c r="O299" s="7"/>
      <c r="P299" s="13" t="s">
        <v>2372</v>
      </c>
    </row>
    <row r="300" spans="1:16" ht="30" x14ac:dyDescent="0.25">
      <c r="A300" s="7" t="s">
        <v>1894</v>
      </c>
      <c r="B300" s="7" t="str">
        <f>"0626"</f>
        <v>0626</v>
      </c>
      <c r="C300" s="7">
        <v>2020</v>
      </c>
      <c r="D300" s="7" t="s">
        <v>1867</v>
      </c>
      <c r="E300" s="7" t="s">
        <v>1868</v>
      </c>
      <c r="F300" s="7" t="s">
        <v>2850</v>
      </c>
      <c r="G300" s="7" t="s">
        <v>1871</v>
      </c>
      <c r="H300" s="7">
        <v>1085293067</v>
      </c>
      <c r="I300" s="7">
        <v>1</v>
      </c>
      <c r="J300" s="7" t="s">
        <v>2851</v>
      </c>
      <c r="K300" s="8">
        <v>27515904</v>
      </c>
      <c r="L300" s="7" t="s">
        <v>1898</v>
      </c>
      <c r="M300" s="7" t="s">
        <v>2284</v>
      </c>
      <c r="N300" s="7" t="s">
        <v>2197</v>
      </c>
      <c r="O300" s="7"/>
      <c r="P300" s="13" t="s">
        <v>2852</v>
      </c>
    </row>
    <row r="301" spans="1:16" ht="30" x14ac:dyDescent="0.25">
      <c r="A301" s="7" t="s">
        <v>1894</v>
      </c>
      <c r="B301" s="7" t="str">
        <f>"0955"</f>
        <v>0955</v>
      </c>
      <c r="C301" s="7">
        <v>2020</v>
      </c>
      <c r="D301" s="7" t="s">
        <v>1867</v>
      </c>
      <c r="E301" s="7" t="s">
        <v>1875</v>
      </c>
      <c r="F301" s="7" t="s">
        <v>3352</v>
      </c>
      <c r="G301" s="7" t="s">
        <v>1871</v>
      </c>
      <c r="H301" s="7">
        <v>98394135</v>
      </c>
      <c r="I301" s="7">
        <v>2</v>
      </c>
      <c r="J301" s="7" t="s">
        <v>1884</v>
      </c>
      <c r="K301" s="8">
        <v>18550000</v>
      </c>
      <c r="L301" s="7" t="s">
        <v>2257</v>
      </c>
      <c r="M301" s="7" t="s">
        <v>3106</v>
      </c>
      <c r="N301" s="7" t="s">
        <v>2197</v>
      </c>
      <c r="O301" s="7"/>
      <c r="P301" s="13" t="s">
        <v>3353</v>
      </c>
    </row>
    <row r="302" spans="1:16" ht="30" x14ac:dyDescent="0.25">
      <c r="A302" s="7" t="s">
        <v>1894</v>
      </c>
      <c r="B302" s="7" t="str">
        <f>"0965"</f>
        <v>0965</v>
      </c>
      <c r="C302" s="7">
        <v>2020</v>
      </c>
      <c r="D302" s="7" t="s">
        <v>1867</v>
      </c>
      <c r="E302" s="7" t="s">
        <v>1868</v>
      </c>
      <c r="F302" s="7" t="s">
        <v>3368</v>
      </c>
      <c r="G302" s="7" t="s">
        <v>1871</v>
      </c>
      <c r="H302" s="7">
        <v>1031143149</v>
      </c>
      <c r="I302" s="7">
        <v>6</v>
      </c>
      <c r="J302" s="7" t="s">
        <v>3369</v>
      </c>
      <c r="K302" s="8">
        <v>24076416</v>
      </c>
      <c r="L302" s="7" t="s">
        <v>2257</v>
      </c>
      <c r="M302" s="7" t="s">
        <v>2926</v>
      </c>
      <c r="N302" s="7" t="s">
        <v>2197</v>
      </c>
      <c r="O302" s="7"/>
      <c r="P302" s="13" t="s">
        <v>3370</v>
      </c>
    </row>
    <row r="303" spans="1:16" ht="30" x14ac:dyDescent="0.25">
      <c r="A303" s="7" t="s">
        <v>1894</v>
      </c>
      <c r="B303" s="7" t="str">
        <f>"0322"</f>
        <v>0322</v>
      </c>
      <c r="C303" s="7">
        <v>2020</v>
      </c>
      <c r="D303" s="7" t="s">
        <v>1867</v>
      </c>
      <c r="E303" s="7" t="s">
        <v>1868</v>
      </c>
      <c r="F303" s="7" t="s">
        <v>2311</v>
      </c>
      <c r="G303" s="7" t="s">
        <v>1871</v>
      </c>
      <c r="H303" s="7">
        <v>16698417</v>
      </c>
      <c r="I303" s="7">
        <v>1</v>
      </c>
      <c r="J303" s="7" t="s">
        <v>2312</v>
      </c>
      <c r="K303" s="8">
        <v>27515904</v>
      </c>
      <c r="L303" s="7" t="s">
        <v>1898</v>
      </c>
      <c r="M303" s="7" t="s">
        <v>2107</v>
      </c>
      <c r="N303" s="7" t="s">
        <v>2205</v>
      </c>
      <c r="O303" s="7"/>
      <c r="P303" s="13" t="s">
        <v>2313</v>
      </c>
    </row>
    <row r="304" spans="1:16" ht="30" x14ac:dyDescent="0.25">
      <c r="A304" s="7" t="s">
        <v>1894</v>
      </c>
      <c r="B304" s="7" t="str">
        <f>"0323"</f>
        <v>0323</v>
      </c>
      <c r="C304" s="7">
        <v>2020</v>
      </c>
      <c r="D304" s="7" t="s">
        <v>1867</v>
      </c>
      <c r="E304" s="7" t="s">
        <v>1868</v>
      </c>
      <c r="F304" s="7" t="s">
        <v>2311</v>
      </c>
      <c r="G304" s="7" t="s">
        <v>1871</v>
      </c>
      <c r="H304" s="7">
        <v>87069038</v>
      </c>
      <c r="I304" s="7">
        <v>3</v>
      </c>
      <c r="J304" s="7" t="s">
        <v>2314</v>
      </c>
      <c r="K304" s="8">
        <v>27515904</v>
      </c>
      <c r="L304" s="7" t="s">
        <v>1898</v>
      </c>
      <c r="M304" s="7" t="s">
        <v>2284</v>
      </c>
      <c r="N304" s="7" t="s">
        <v>2205</v>
      </c>
      <c r="O304" s="7"/>
      <c r="P304" s="13" t="s">
        <v>2315</v>
      </c>
    </row>
    <row r="305" spans="1:16" ht="30" x14ac:dyDescent="0.25">
      <c r="A305" s="7" t="s">
        <v>1894</v>
      </c>
      <c r="B305" s="7" t="str">
        <f>"0324"</f>
        <v>0324</v>
      </c>
      <c r="C305" s="7">
        <v>2020</v>
      </c>
      <c r="D305" s="7" t="s">
        <v>1867</v>
      </c>
      <c r="E305" s="7" t="s">
        <v>1875</v>
      </c>
      <c r="F305" s="7" t="s">
        <v>2316</v>
      </c>
      <c r="G305" s="7" t="s">
        <v>1871</v>
      </c>
      <c r="H305" s="7">
        <v>5207557</v>
      </c>
      <c r="I305" s="7">
        <v>9</v>
      </c>
      <c r="J305" s="7" t="s">
        <v>2317</v>
      </c>
      <c r="K305" s="8">
        <v>21200000</v>
      </c>
      <c r="L305" s="7" t="s">
        <v>1898</v>
      </c>
      <c r="M305" s="7" t="s">
        <v>2318</v>
      </c>
      <c r="N305" s="7" t="s">
        <v>2205</v>
      </c>
      <c r="O305" s="7"/>
      <c r="P305" s="13" t="s">
        <v>2319</v>
      </c>
    </row>
    <row r="306" spans="1:16" ht="30" x14ac:dyDescent="0.25">
      <c r="A306" s="7" t="s">
        <v>1894</v>
      </c>
      <c r="B306" s="7" t="str">
        <f>"0337"</f>
        <v>0337</v>
      </c>
      <c r="C306" s="7">
        <v>2020</v>
      </c>
      <c r="D306" s="7" t="s">
        <v>1867</v>
      </c>
      <c r="E306" s="7" t="s">
        <v>1868</v>
      </c>
      <c r="F306" s="7" t="s">
        <v>2348</v>
      </c>
      <c r="G306" s="7" t="s">
        <v>1871</v>
      </c>
      <c r="H306" s="7">
        <v>36756433</v>
      </c>
      <c r="I306" s="7">
        <v>1</v>
      </c>
      <c r="J306" s="7" t="s">
        <v>2349</v>
      </c>
      <c r="K306" s="8">
        <v>27515904</v>
      </c>
      <c r="L306" s="7" t="s">
        <v>1898</v>
      </c>
      <c r="M306" s="7" t="s">
        <v>2350</v>
      </c>
      <c r="N306" s="7" t="s">
        <v>2205</v>
      </c>
      <c r="O306" s="7"/>
      <c r="P306" s="13" t="s">
        <v>2351</v>
      </c>
    </row>
    <row r="307" spans="1:16" ht="30" x14ac:dyDescent="0.25">
      <c r="A307" s="7" t="s">
        <v>1894</v>
      </c>
      <c r="B307" s="7" t="str">
        <f>"0343"</f>
        <v>0343</v>
      </c>
      <c r="C307" s="7">
        <v>2020</v>
      </c>
      <c r="D307" s="7" t="s">
        <v>1867</v>
      </c>
      <c r="E307" s="7" t="s">
        <v>1868</v>
      </c>
      <c r="F307" s="7" t="s">
        <v>1895</v>
      </c>
      <c r="G307" s="7" t="s">
        <v>1871</v>
      </c>
      <c r="H307" s="7">
        <v>4519454</v>
      </c>
      <c r="I307" s="7">
        <v>4</v>
      </c>
      <c r="J307" s="7" t="s">
        <v>2361</v>
      </c>
      <c r="K307" s="8">
        <v>36000000</v>
      </c>
      <c r="L307" s="7" t="s">
        <v>1898</v>
      </c>
      <c r="M307" s="7" t="s">
        <v>2113</v>
      </c>
      <c r="N307" s="7" t="s">
        <v>2205</v>
      </c>
      <c r="O307" s="7"/>
      <c r="P307" s="13" t="s">
        <v>2362</v>
      </c>
    </row>
    <row r="308" spans="1:16" ht="30" x14ac:dyDescent="0.25">
      <c r="A308" s="7" t="s">
        <v>1894</v>
      </c>
      <c r="B308" s="7" t="str">
        <f>"0438"</f>
        <v>0438</v>
      </c>
      <c r="C308" s="7">
        <v>2020</v>
      </c>
      <c r="D308" s="7" t="s">
        <v>1867</v>
      </c>
      <c r="E308" s="7" t="s">
        <v>1868</v>
      </c>
      <c r="F308" s="7" t="s">
        <v>2554</v>
      </c>
      <c r="G308" s="7" t="s">
        <v>1871</v>
      </c>
      <c r="H308" s="7">
        <v>1084222471</v>
      </c>
      <c r="I308" s="7">
        <v>5</v>
      </c>
      <c r="J308" s="7" t="s">
        <v>2555</v>
      </c>
      <c r="K308" s="8">
        <v>27515904</v>
      </c>
      <c r="L308" s="7" t="s">
        <v>1898</v>
      </c>
      <c r="M308" s="7" t="s">
        <v>2306</v>
      </c>
      <c r="N308" s="7" t="s">
        <v>2205</v>
      </c>
      <c r="O308" s="7"/>
      <c r="P308" s="13" t="s">
        <v>2556</v>
      </c>
    </row>
    <row r="309" spans="1:16" ht="30" x14ac:dyDescent="0.25">
      <c r="A309" s="7" t="s">
        <v>1894</v>
      </c>
      <c r="B309" s="7" t="str">
        <f>"0655"</f>
        <v>0655</v>
      </c>
      <c r="C309" s="7">
        <v>2020</v>
      </c>
      <c r="D309" s="7" t="s">
        <v>1867</v>
      </c>
      <c r="E309" s="7" t="s">
        <v>1868</v>
      </c>
      <c r="F309" s="7" t="s">
        <v>2913</v>
      </c>
      <c r="G309" s="7" t="s">
        <v>1871</v>
      </c>
      <c r="H309" s="7">
        <v>36753364</v>
      </c>
      <c r="I309" s="7">
        <v>8</v>
      </c>
      <c r="J309" s="7" t="s">
        <v>2914</v>
      </c>
      <c r="K309" s="8">
        <v>27515904</v>
      </c>
      <c r="L309" s="7" t="s">
        <v>1997</v>
      </c>
      <c r="M309" s="7" t="s">
        <v>2107</v>
      </c>
      <c r="N309" s="7" t="s">
        <v>2903</v>
      </c>
      <c r="O309" s="7"/>
      <c r="P309" s="13" t="s">
        <v>2915</v>
      </c>
    </row>
    <row r="310" spans="1:16" ht="30" x14ac:dyDescent="0.25">
      <c r="A310" s="7" t="s">
        <v>1894</v>
      </c>
      <c r="B310" s="7" t="str">
        <f>"0657"</f>
        <v>0657</v>
      </c>
      <c r="C310" s="7">
        <v>2020</v>
      </c>
      <c r="D310" s="7" t="s">
        <v>1867</v>
      </c>
      <c r="E310" s="7" t="s">
        <v>1868</v>
      </c>
      <c r="F310" s="7" t="s">
        <v>2919</v>
      </c>
      <c r="G310" s="7" t="s">
        <v>1871</v>
      </c>
      <c r="H310" s="7">
        <v>1088589040</v>
      </c>
      <c r="I310" s="7">
        <v>4</v>
      </c>
      <c r="J310" s="7" t="s">
        <v>2920</v>
      </c>
      <c r="K310" s="8">
        <v>27515904</v>
      </c>
      <c r="L310" s="7" t="s">
        <v>1997</v>
      </c>
      <c r="M310" s="7" t="s">
        <v>2350</v>
      </c>
      <c r="N310" s="7" t="s">
        <v>2903</v>
      </c>
      <c r="O310" s="7"/>
      <c r="P310" s="13" t="s">
        <v>2921</v>
      </c>
    </row>
    <row r="311" spans="1:16" ht="30" x14ac:dyDescent="0.25">
      <c r="A311" s="7" t="s">
        <v>1894</v>
      </c>
      <c r="B311" s="7" t="str">
        <f>"1102"</f>
        <v>1102</v>
      </c>
      <c r="C311" s="7">
        <v>2020</v>
      </c>
      <c r="D311" s="7" t="s">
        <v>1867</v>
      </c>
      <c r="E311" s="7" t="s">
        <v>1868</v>
      </c>
      <c r="F311" s="7" t="s">
        <v>3571</v>
      </c>
      <c r="G311" s="7" t="s">
        <v>1871</v>
      </c>
      <c r="H311" s="7">
        <v>1085304279</v>
      </c>
      <c r="I311" s="7">
        <v>3</v>
      </c>
      <c r="J311" s="7" t="s">
        <v>1892</v>
      </c>
      <c r="K311" s="8">
        <v>18550000</v>
      </c>
      <c r="L311" s="7" t="s">
        <v>2239</v>
      </c>
      <c r="M311" s="7" t="s">
        <v>2832</v>
      </c>
      <c r="N311" s="7" t="s">
        <v>2903</v>
      </c>
      <c r="O311" s="7" t="s">
        <v>3572</v>
      </c>
      <c r="P311" s="13" t="s">
        <v>3573</v>
      </c>
    </row>
    <row r="312" spans="1:16" ht="30" x14ac:dyDescent="0.25">
      <c r="A312" s="7" t="s">
        <v>1894</v>
      </c>
      <c r="B312" s="7" t="str">
        <f>"0654"</f>
        <v>0654</v>
      </c>
      <c r="C312" s="7">
        <v>2020</v>
      </c>
      <c r="D312" s="7" t="s">
        <v>1867</v>
      </c>
      <c r="E312" s="7" t="s">
        <v>1875</v>
      </c>
      <c r="F312" s="7" t="s">
        <v>2909</v>
      </c>
      <c r="G312" s="7" t="s">
        <v>1871</v>
      </c>
      <c r="H312" s="7">
        <v>27087720</v>
      </c>
      <c r="I312" s="7">
        <v>7</v>
      </c>
      <c r="J312" s="7" t="s">
        <v>2910</v>
      </c>
      <c r="K312" s="8">
        <v>21200000</v>
      </c>
      <c r="L312" s="7" t="s">
        <v>1997</v>
      </c>
      <c r="M312" s="7" t="s">
        <v>2306</v>
      </c>
      <c r="N312" s="7" t="s">
        <v>2911</v>
      </c>
      <c r="O312" s="7"/>
      <c r="P312" s="13" t="s">
        <v>2912</v>
      </c>
    </row>
    <row r="313" spans="1:16" ht="30" x14ac:dyDescent="0.25">
      <c r="A313" s="7" t="s">
        <v>1894</v>
      </c>
      <c r="B313" s="7" t="str">
        <f>"0656"</f>
        <v>0656</v>
      </c>
      <c r="C313" s="7">
        <v>2020</v>
      </c>
      <c r="D313" s="7" t="s">
        <v>1867</v>
      </c>
      <c r="E313" s="7" t="s">
        <v>1868</v>
      </c>
      <c r="F313" s="7" t="s">
        <v>2916</v>
      </c>
      <c r="G313" s="7" t="s">
        <v>1871</v>
      </c>
      <c r="H313" s="7">
        <v>59675975</v>
      </c>
      <c r="I313" s="7">
        <v>7</v>
      </c>
      <c r="J313" s="7" t="s">
        <v>2917</v>
      </c>
      <c r="K313" s="8">
        <v>27515904</v>
      </c>
      <c r="L313" s="7" t="s">
        <v>1997</v>
      </c>
      <c r="M313" s="7" t="s">
        <v>2350</v>
      </c>
      <c r="N313" s="7" t="s">
        <v>2911</v>
      </c>
      <c r="O313" s="7"/>
      <c r="P313" s="13" t="s">
        <v>2918</v>
      </c>
    </row>
    <row r="314" spans="1:16" ht="30" x14ac:dyDescent="0.25">
      <c r="A314" s="7" t="s">
        <v>1894</v>
      </c>
      <c r="B314" s="7" t="str">
        <f>"0727"</f>
        <v>0727</v>
      </c>
      <c r="C314" s="7">
        <v>2020</v>
      </c>
      <c r="D314" s="7" t="s">
        <v>1867</v>
      </c>
      <c r="E314" s="7" t="s">
        <v>1875</v>
      </c>
      <c r="F314" s="7" t="s">
        <v>2983</v>
      </c>
      <c r="G314" s="7" t="s">
        <v>1871</v>
      </c>
      <c r="H314" s="7">
        <v>98384348</v>
      </c>
      <c r="I314" s="7">
        <v>1</v>
      </c>
      <c r="J314" s="7" t="s">
        <v>2984</v>
      </c>
      <c r="K314" s="8">
        <v>21200000</v>
      </c>
      <c r="L314" s="7" t="s">
        <v>1997</v>
      </c>
      <c r="M314" s="7" t="s">
        <v>2350</v>
      </c>
      <c r="N314" s="7" t="s">
        <v>2911</v>
      </c>
      <c r="O314" s="7"/>
      <c r="P314" s="13" t="s">
        <v>2985</v>
      </c>
    </row>
    <row r="315" spans="1:16" ht="30" x14ac:dyDescent="0.25">
      <c r="A315" s="7" t="s">
        <v>1894</v>
      </c>
      <c r="B315" s="7" t="str">
        <f>"0742"</f>
        <v>0742</v>
      </c>
      <c r="C315" s="7">
        <v>2020</v>
      </c>
      <c r="D315" s="7" t="s">
        <v>1867</v>
      </c>
      <c r="E315" s="7" t="s">
        <v>1868</v>
      </c>
      <c r="F315" s="7" t="s">
        <v>2999</v>
      </c>
      <c r="G315" s="7" t="s">
        <v>1871</v>
      </c>
      <c r="H315" s="7">
        <v>59788877</v>
      </c>
      <c r="I315" s="7">
        <v>9</v>
      </c>
      <c r="J315" s="7" t="s">
        <v>3000</v>
      </c>
      <c r="K315" s="8">
        <v>27515904</v>
      </c>
      <c r="L315" s="7" t="s">
        <v>1997</v>
      </c>
      <c r="M315" s="7" t="s">
        <v>2318</v>
      </c>
      <c r="N315" s="7" t="s">
        <v>2911</v>
      </c>
      <c r="O315" s="7"/>
      <c r="P315" s="13" t="s">
        <v>3001</v>
      </c>
    </row>
    <row r="316" spans="1:16" ht="30" x14ac:dyDescent="0.25">
      <c r="A316" s="7" t="s">
        <v>1894</v>
      </c>
      <c r="B316" s="7" t="str">
        <f>"0751"</f>
        <v>0751</v>
      </c>
      <c r="C316" s="7">
        <v>2020</v>
      </c>
      <c r="D316" s="7" t="s">
        <v>1867</v>
      </c>
      <c r="E316" s="7" t="s">
        <v>1868</v>
      </c>
      <c r="F316" s="7" t="s">
        <v>3002</v>
      </c>
      <c r="G316" s="7" t="s">
        <v>1871</v>
      </c>
      <c r="H316" s="7">
        <v>12967869</v>
      </c>
      <c r="I316" s="7">
        <v>7</v>
      </c>
      <c r="J316" s="7" t="s">
        <v>3003</v>
      </c>
      <c r="K316" s="8">
        <v>27515904</v>
      </c>
      <c r="L316" s="7" t="s">
        <v>2008</v>
      </c>
      <c r="M316" s="7" t="s">
        <v>2417</v>
      </c>
      <c r="N316" s="7" t="s">
        <v>2911</v>
      </c>
      <c r="O316" s="7"/>
      <c r="P316" s="13" t="s">
        <v>3004</v>
      </c>
    </row>
    <row r="317" spans="1:16" ht="30" x14ac:dyDescent="0.25">
      <c r="A317" s="7" t="s">
        <v>1894</v>
      </c>
      <c r="B317" s="7" t="str">
        <f>"0752"</f>
        <v>0752</v>
      </c>
      <c r="C317" s="7">
        <v>2020</v>
      </c>
      <c r="D317" s="7" t="s">
        <v>1867</v>
      </c>
      <c r="E317" s="7" t="s">
        <v>1868</v>
      </c>
      <c r="F317" s="7" t="s">
        <v>3005</v>
      </c>
      <c r="G317" s="7" t="s">
        <v>1871</v>
      </c>
      <c r="H317" s="7">
        <v>1085275589</v>
      </c>
      <c r="I317" s="7">
        <v>6</v>
      </c>
      <c r="J317" s="7" t="s">
        <v>3006</v>
      </c>
      <c r="K317" s="8">
        <v>27515904</v>
      </c>
      <c r="L317" s="7" t="s">
        <v>2008</v>
      </c>
      <c r="M317" s="7" t="s">
        <v>2298</v>
      </c>
      <c r="N317" s="7" t="s">
        <v>2911</v>
      </c>
      <c r="O317" s="7"/>
      <c r="P317" s="13" t="s">
        <v>3007</v>
      </c>
    </row>
    <row r="318" spans="1:16" ht="30" x14ac:dyDescent="0.25">
      <c r="A318" s="7" t="s">
        <v>1894</v>
      </c>
      <c r="B318" s="7" t="str">
        <f>"0753"</f>
        <v>0753</v>
      </c>
      <c r="C318" s="7">
        <v>2020</v>
      </c>
      <c r="D318" s="7" t="s">
        <v>1867</v>
      </c>
      <c r="E318" s="7" t="s">
        <v>1868</v>
      </c>
      <c r="F318" s="7" t="s">
        <v>3008</v>
      </c>
      <c r="G318" s="7" t="s">
        <v>1871</v>
      </c>
      <c r="H318" s="7">
        <v>1086359798</v>
      </c>
      <c r="I318" s="7">
        <v>4</v>
      </c>
      <c r="J318" s="7" t="s">
        <v>3009</v>
      </c>
      <c r="K318" s="8">
        <v>27515904</v>
      </c>
      <c r="L318" s="7" t="s">
        <v>2008</v>
      </c>
      <c r="M318" s="7" t="s">
        <v>2284</v>
      </c>
      <c r="N318" s="7" t="s">
        <v>2911</v>
      </c>
      <c r="O318" s="7"/>
      <c r="P318" s="13" t="s">
        <v>2829</v>
      </c>
    </row>
    <row r="319" spans="1:16" ht="30" x14ac:dyDescent="0.25">
      <c r="A319" s="7" t="s">
        <v>1894</v>
      </c>
      <c r="B319" s="7" t="str">
        <f>"0754"</f>
        <v>0754</v>
      </c>
      <c r="C319" s="7">
        <v>2020</v>
      </c>
      <c r="D319" s="7" t="s">
        <v>1867</v>
      </c>
      <c r="E319" s="7" t="s">
        <v>1868</v>
      </c>
      <c r="F319" s="7" t="s">
        <v>3010</v>
      </c>
      <c r="G319" s="7" t="s">
        <v>1871</v>
      </c>
      <c r="H319" s="7">
        <v>1085291709</v>
      </c>
      <c r="I319" s="7">
        <v>0</v>
      </c>
      <c r="J319" s="7" t="s">
        <v>3011</v>
      </c>
      <c r="K319" s="8">
        <v>27515904</v>
      </c>
      <c r="L319" s="7" t="s">
        <v>2008</v>
      </c>
      <c r="M319" s="7" t="s">
        <v>2239</v>
      </c>
      <c r="N319" s="7" t="s">
        <v>2911</v>
      </c>
      <c r="O319" s="7"/>
      <c r="P319" s="13" t="s">
        <v>3012</v>
      </c>
    </row>
    <row r="320" spans="1:16" ht="30" x14ac:dyDescent="0.25">
      <c r="A320" s="7" t="s">
        <v>1894</v>
      </c>
      <c r="B320" s="7" t="str">
        <f>"1022"</f>
        <v>1022</v>
      </c>
      <c r="C320" s="7">
        <v>2020</v>
      </c>
      <c r="D320" s="7" t="s">
        <v>1867</v>
      </c>
      <c r="E320" s="7" t="s">
        <v>1875</v>
      </c>
      <c r="F320" s="7" t="s">
        <v>3482</v>
      </c>
      <c r="G320" s="7" t="s">
        <v>1871</v>
      </c>
      <c r="H320" s="7">
        <v>1085312179</v>
      </c>
      <c r="I320" s="7">
        <v>9</v>
      </c>
      <c r="J320" s="7" t="s">
        <v>3483</v>
      </c>
      <c r="K320" s="8">
        <v>18550000</v>
      </c>
      <c r="L320" s="7" t="s">
        <v>2239</v>
      </c>
      <c r="M320" s="7" t="s">
        <v>2431</v>
      </c>
      <c r="N320" s="7" t="s">
        <v>2911</v>
      </c>
      <c r="O320" s="7"/>
      <c r="P320" s="13" t="s">
        <v>3484</v>
      </c>
    </row>
    <row r="321" spans="1:16" ht="30" x14ac:dyDescent="0.25">
      <c r="A321" s="7" t="s">
        <v>1894</v>
      </c>
      <c r="B321" s="7" t="str">
        <f>"0760"</f>
        <v>0760</v>
      </c>
      <c r="C321" s="7">
        <v>2020</v>
      </c>
      <c r="D321" s="7" t="s">
        <v>1867</v>
      </c>
      <c r="E321" s="7" t="s">
        <v>1868</v>
      </c>
      <c r="F321" s="7" t="s">
        <v>3025</v>
      </c>
      <c r="G321" s="7" t="s">
        <v>1871</v>
      </c>
      <c r="H321" s="7">
        <v>12984169</v>
      </c>
      <c r="I321" s="7">
        <v>1</v>
      </c>
      <c r="J321" s="7" t="s">
        <v>3026</v>
      </c>
      <c r="K321" s="8">
        <v>27515904</v>
      </c>
      <c r="L321" s="7" t="s">
        <v>1980</v>
      </c>
      <c r="M321" s="7" t="s">
        <v>2331</v>
      </c>
      <c r="N321" s="7" t="s">
        <v>2432</v>
      </c>
      <c r="O321" s="7"/>
      <c r="P321" s="13" t="s">
        <v>3027</v>
      </c>
    </row>
    <row r="322" spans="1:16" ht="30" x14ac:dyDescent="0.25">
      <c r="A322" s="7" t="s">
        <v>1894</v>
      </c>
      <c r="B322" s="7" t="str">
        <f>"0793"</f>
        <v>0793</v>
      </c>
      <c r="C322" s="7">
        <v>2020</v>
      </c>
      <c r="D322" s="7" t="s">
        <v>1867</v>
      </c>
      <c r="E322" s="7" t="s">
        <v>1868</v>
      </c>
      <c r="F322" s="7" t="s">
        <v>3103</v>
      </c>
      <c r="G322" s="7" t="s">
        <v>1871</v>
      </c>
      <c r="H322" s="7">
        <v>1085309783</v>
      </c>
      <c r="I322" s="7">
        <v>7</v>
      </c>
      <c r="J322" s="7" t="s">
        <v>3104</v>
      </c>
      <c r="K322" s="8">
        <v>27515904</v>
      </c>
      <c r="L322" s="7" t="s">
        <v>1982</v>
      </c>
      <c r="M322" s="7" t="s">
        <v>2204</v>
      </c>
      <c r="N322" s="7" t="s">
        <v>2822</v>
      </c>
      <c r="O322" s="7"/>
      <c r="P322" s="13" t="s">
        <v>3105</v>
      </c>
    </row>
    <row r="323" spans="1:16" ht="30" x14ac:dyDescent="0.25">
      <c r="A323" s="7" t="s">
        <v>1894</v>
      </c>
      <c r="B323" s="7" t="str">
        <f>"0741"</f>
        <v>0741</v>
      </c>
      <c r="C323" s="7">
        <v>2020</v>
      </c>
      <c r="D323" s="7" t="s">
        <v>1867</v>
      </c>
      <c r="E323" s="7" t="s">
        <v>1868</v>
      </c>
      <c r="F323" s="7" t="s">
        <v>2996</v>
      </c>
      <c r="G323" s="7" t="s">
        <v>1871</v>
      </c>
      <c r="H323" s="7">
        <v>1088649680</v>
      </c>
      <c r="I323" s="7">
        <v>6</v>
      </c>
      <c r="J323" s="7" t="s">
        <v>2997</v>
      </c>
      <c r="K323" s="8">
        <v>27515904</v>
      </c>
      <c r="L323" s="7" t="s">
        <v>1997</v>
      </c>
      <c r="M323" s="7" t="s">
        <v>2318</v>
      </c>
      <c r="N323" s="7" t="s">
        <v>2696</v>
      </c>
      <c r="O323" s="7"/>
      <c r="P323" s="13" t="s">
        <v>2998</v>
      </c>
    </row>
    <row r="324" spans="1:16" ht="30" x14ac:dyDescent="0.25">
      <c r="A324" s="7" t="s">
        <v>1894</v>
      </c>
      <c r="B324" s="7" t="str">
        <f>"1141"</f>
        <v>1141</v>
      </c>
      <c r="C324" s="7">
        <v>2020</v>
      </c>
      <c r="D324" s="7" t="s">
        <v>1867</v>
      </c>
      <c r="E324" s="7" t="s">
        <v>1875</v>
      </c>
      <c r="F324" s="7" t="s">
        <v>3642</v>
      </c>
      <c r="G324" s="7" t="s">
        <v>1871</v>
      </c>
      <c r="H324" s="7">
        <v>1086044603</v>
      </c>
      <c r="I324" s="7">
        <v>4</v>
      </c>
      <c r="J324" s="7" t="s">
        <v>3643</v>
      </c>
      <c r="K324" s="8">
        <v>24076416</v>
      </c>
      <c r="L324" s="7" t="s">
        <v>2284</v>
      </c>
      <c r="M324" s="7" t="s">
        <v>3344</v>
      </c>
      <c r="N324" s="7" t="s">
        <v>2696</v>
      </c>
      <c r="O324" s="7"/>
      <c r="P324" s="13" t="s">
        <v>3644</v>
      </c>
    </row>
    <row r="325" spans="1:16" ht="30" x14ac:dyDescent="0.25">
      <c r="A325" s="7" t="s">
        <v>1894</v>
      </c>
      <c r="B325" s="7" t="str">
        <f>"1142"</f>
        <v>1142</v>
      </c>
      <c r="C325" s="7">
        <v>2020</v>
      </c>
      <c r="D325" s="7" t="s">
        <v>1867</v>
      </c>
      <c r="E325" s="7" t="s">
        <v>1868</v>
      </c>
      <c r="F325" s="7" t="s">
        <v>3645</v>
      </c>
      <c r="G325" s="7" t="s">
        <v>1871</v>
      </c>
      <c r="H325" s="7">
        <v>25599514</v>
      </c>
      <c r="I325" s="7">
        <v>6</v>
      </c>
      <c r="J325" s="7" t="s">
        <v>3646</v>
      </c>
      <c r="K325" s="8">
        <v>24076416</v>
      </c>
      <c r="L325" s="7" t="s">
        <v>2284</v>
      </c>
      <c r="M325" s="7" t="s">
        <v>3344</v>
      </c>
      <c r="N325" s="7" t="s">
        <v>2696</v>
      </c>
      <c r="O325" s="7"/>
      <c r="P325" s="13" t="s">
        <v>3647</v>
      </c>
    </row>
    <row r="326" spans="1:16" ht="30" x14ac:dyDescent="0.25">
      <c r="A326" s="7" t="s">
        <v>1894</v>
      </c>
      <c r="B326" s="7" t="str">
        <f>"0825"</f>
        <v>0825</v>
      </c>
      <c r="C326" s="7">
        <v>2020</v>
      </c>
      <c r="D326" s="7" t="s">
        <v>1867</v>
      </c>
      <c r="E326" s="7" t="s">
        <v>1868</v>
      </c>
      <c r="F326" s="7" t="s">
        <v>3140</v>
      </c>
      <c r="G326" s="7" t="s">
        <v>1871</v>
      </c>
      <c r="H326" s="7">
        <v>75082130</v>
      </c>
      <c r="I326" s="7">
        <v>3</v>
      </c>
      <c r="J326" s="7" t="s">
        <v>3141</v>
      </c>
      <c r="K326" s="8">
        <v>27515904</v>
      </c>
      <c r="L326" s="7" t="s">
        <v>2035</v>
      </c>
      <c r="M326" s="7" t="s">
        <v>2235</v>
      </c>
      <c r="N326" s="7" t="s">
        <v>3132</v>
      </c>
      <c r="O326" s="7"/>
      <c r="P326" s="13" t="s">
        <v>3142</v>
      </c>
    </row>
    <row r="327" spans="1:16" ht="30" x14ac:dyDescent="0.25">
      <c r="A327" s="7" t="s">
        <v>1894</v>
      </c>
      <c r="B327" s="7" t="str">
        <f>"0827"</f>
        <v>0827</v>
      </c>
      <c r="C327" s="7">
        <v>2020</v>
      </c>
      <c r="D327" s="7" t="s">
        <v>1867</v>
      </c>
      <c r="E327" s="7" t="s">
        <v>1875</v>
      </c>
      <c r="F327" s="7" t="s">
        <v>3146</v>
      </c>
      <c r="G327" s="7" t="s">
        <v>1871</v>
      </c>
      <c r="H327" s="7">
        <v>1082688302</v>
      </c>
      <c r="I327" s="7">
        <v>1</v>
      </c>
      <c r="J327" s="7" t="s">
        <v>3147</v>
      </c>
      <c r="K327" s="8">
        <v>21200000</v>
      </c>
      <c r="L327" s="7" t="s">
        <v>2035</v>
      </c>
      <c r="M327" s="7" t="s">
        <v>2107</v>
      </c>
      <c r="N327" s="7" t="s">
        <v>3132</v>
      </c>
      <c r="O327" s="7"/>
      <c r="P327" s="13" t="s">
        <v>3148</v>
      </c>
    </row>
    <row r="328" spans="1:16" ht="30" x14ac:dyDescent="0.25">
      <c r="A328" s="7" t="s">
        <v>1894</v>
      </c>
      <c r="B328" s="7" t="str">
        <f>"0858"</f>
        <v>0858</v>
      </c>
      <c r="C328" s="7">
        <v>2020</v>
      </c>
      <c r="D328" s="7" t="s">
        <v>1867</v>
      </c>
      <c r="E328" s="7" t="s">
        <v>1868</v>
      </c>
      <c r="F328" s="7" t="s">
        <v>3208</v>
      </c>
      <c r="G328" s="7" t="s">
        <v>1871</v>
      </c>
      <c r="H328" s="7">
        <v>59310804</v>
      </c>
      <c r="I328" s="7">
        <v>1</v>
      </c>
      <c r="J328" s="7" t="s">
        <v>3209</v>
      </c>
      <c r="K328" s="8">
        <v>27515904</v>
      </c>
      <c r="L328" s="7" t="s">
        <v>2022</v>
      </c>
      <c r="M328" s="7" t="s">
        <v>2717</v>
      </c>
      <c r="N328" s="7" t="s">
        <v>3210</v>
      </c>
      <c r="O328" s="7"/>
      <c r="P328" s="13" t="s">
        <v>3211</v>
      </c>
    </row>
    <row r="329" spans="1:16" ht="30" x14ac:dyDescent="0.25">
      <c r="A329" s="7" t="s">
        <v>1894</v>
      </c>
      <c r="B329" s="7" t="str">
        <f>"0865"</f>
        <v>0865</v>
      </c>
      <c r="C329" s="7">
        <v>2020</v>
      </c>
      <c r="D329" s="7" t="s">
        <v>1867</v>
      </c>
      <c r="E329" s="7" t="s">
        <v>1875</v>
      </c>
      <c r="F329" s="7" t="s">
        <v>3226</v>
      </c>
      <c r="G329" s="7" t="s">
        <v>1871</v>
      </c>
      <c r="H329" s="7">
        <v>37123752</v>
      </c>
      <c r="I329" s="7">
        <v>3</v>
      </c>
      <c r="J329" s="7" t="s">
        <v>3227</v>
      </c>
      <c r="K329" s="8">
        <v>21200000</v>
      </c>
      <c r="L329" s="7" t="s">
        <v>2022</v>
      </c>
      <c r="M329" s="7" t="s">
        <v>2246</v>
      </c>
      <c r="N329" s="7" t="s">
        <v>3210</v>
      </c>
      <c r="O329" s="7"/>
      <c r="P329" s="13" t="s">
        <v>3228</v>
      </c>
    </row>
    <row r="330" spans="1:16" ht="30" x14ac:dyDescent="0.25">
      <c r="A330" s="7" t="s">
        <v>1894</v>
      </c>
      <c r="B330" s="7" t="str">
        <f>"0871"</f>
        <v>0871</v>
      </c>
      <c r="C330" s="7">
        <v>2020</v>
      </c>
      <c r="D330" s="7" t="s">
        <v>1867</v>
      </c>
      <c r="E330" s="7" t="s">
        <v>1875</v>
      </c>
      <c r="F330" s="7" t="s">
        <v>3236</v>
      </c>
      <c r="G330" s="7" t="s">
        <v>1871</v>
      </c>
      <c r="H330" s="7">
        <v>12995663</v>
      </c>
      <c r="I330" s="7">
        <v>6</v>
      </c>
      <c r="J330" s="7" t="s">
        <v>3237</v>
      </c>
      <c r="K330" s="8">
        <v>21200000</v>
      </c>
      <c r="L330" s="7" t="s">
        <v>2022</v>
      </c>
      <c r="M330" s="7" t="s">
        <v>2331</v>
      </c>
      <c r="N330" s="7" t="s">
        <v>3224</v>
      </c>
      <c r="O330" s="7"/>
      <c r="P330" s="13" t="s">
        <v>3238</v>
      </c>
    </row>
    <row r="331" spans="1:16" ht="30" x14ac:dyDescent="0.25">
      <c r="A331" s="7" t="s">
        <v>1894</v>
      </c>
      <c r="B331" s="7" t="str">
        <f>"0878"</f>
        <v>0878</v>
      </c>
      <c r="C331" s="7">
        <v>2020</v>
      </c>
      <c r="D331" s="7" t="s">
        <v>1867</v>
      </c>
      <c r="E331" s="7" t="s">
        <v>1868</v>
      </c>
      <c r="F331" s="7" t="s">
        <v>3252</v>
      </c>
      <c r="G331" s="7" t="s">
        <v>1871</v>
      </c>
      <c r="H331" s="7">
        <v>98381023</v>
      </c>
      <c r="I331" s="7">
        <v>1</v>
      </c>
      <c r="J331" s="7" t="s">
        <v>3253</v>
      </c>
      <c r="K331" s="8">
        <v>27515904</v>
      </c>
      <c r="L331" s="7" t="s">
        <v>2062</v>
      </c>
      <c r="M331" s="7" t="s">
        <v>2717</v>
      </c>
      <c r="N331" s="7" t="s">
        <v>3224</v>
      </c>
      <c r="O331" s="7"/>
      <c r="P331" s="13" t="s">
        <v>3254</v>
      </c>
    </row>
    <row r="332" spans="1:16" ht="30" x14ac:dyDescent="0.25">
      <c r="A332" s="7" t="s">
        <v>1894</v>
      </c>
      <c r="B332" s="7" t="str">
        <f>"1256"</f>
        <v>1256</v>
      </c>
      <c r="C332" s="7">
        <v>2020</v>
      </c>
      <c r="D332" s="7" t="s">
        <v>1867</v>
      </c>
      <c r="E332" s="7" t="s">
        <v>1875</v>
      </c>
      <c r="F332" s="7" t="s">
        <v>3352</v>
      </c>
      <c r="G332" s="7" t="s">
        <v>1871</v>
      </c>
      <c r="H332" s="7">
        <v>1004189312</v>
      </c>
      <c r="I332" s="7">
        <v>0</v>
      </c>
      <c r="J332" s="7" t="s">
        <v>2030</v>
      </c>
      <c r="K332" s="8">
        <v>18550000</v>
      </c>
      <c r="L332" s="7" t="s">
        <v>2331</v>
      </c>
      <c r="M332" s="7" t="s">
        <v>3344</v>
      </c>
      <c r="N332" s="7" t="s">
        <v>3224</v>
      </c>
      <c r="O332" s="7"/>
      <c r="P332" s="13" t="s">
        <v>3734</v>
      </c>
    </row>
    <row r="333" spans="1:16" ht="30" x14ac:dyDescent="0.25">
      <c r="A333" s="7" t="s">
        <v>1894</v>
      </c>
      <c r="B333" s="7" t="str">
        <f>"0964"</f>
        <v>0964</v>
      </c>
      <c r="C333" s="7">
        <v>2020</v>
      </c>
      <c r="D333" s="7" t="s">
        <v>1867</v>
      </c>
      <c r="E333" s="7" t="s">
        <v>1875</v>
      </c>
      <c r="F333" s="7" t="s">
        <v>3365</v>
      </c>
      <c r="G333" s="7" t="s">
        <v>1871</v>
      </c>
      <c r="H333" s="7">
        <v>1085267566</v>
      </c>
      <c r="I333" s="7">
        <v>3</v>
      </c>
      <c r="J333" s="7" t="s">
        <v>3366</v>
      </c>
      <c r="K333" s="8">
        <v>21200000</v>
      </c>
      <c r="L333" s="7" t="s">
        <v>2257</v>
      </c>
      <c r="M333" s="7" t="s">
        <v>2969</v>
      </c>
      <c r="N333" s="7" t="s">
        <v>3337</v>
      </c>
      <c r="O333" s="7"/>
      <c r="P333" s="13" t="s">
        <v>3367</v>
      </c>
    </row>
    <row r="334" spans="1:16" ht="30" x14ac:dyDescent="0.25">
      <c r="A334" s="7" t="s">
        <v>1894</v>
      </c>
      <c r="B334" s="7" t="str">
        <f>"1113"</f>
        <v>1113</v>
      </c>
      <c r="C334" s="7">
        <v>2020</v>
      </c>
      <c r="D334" s="7" t="s">
        <v>1867</v>
      </c>
      <c r="E334" s="7" t="s">
        <v>1868</v>
      </c>
      <c r="F334" s="7" t="s">
        <v>3593</v>
      </c>
      <c r="G334" s="7" t="s">
        <v>1871</v>
      </c>
      <c r="H334" s="7">
        <v>1085294154</v>
      </c>
      <c r="I334" s="7">
        <v>7</v>
      </c>
      <c r="J334" s="7" t="s">
        <v>3594</v>
      </c>
      <c r="K334" s="8">
        <v>27515904</v>
      </c>
      <c r="L334" s="7" t="s">
        <v>2235</v>
      </c>
      <c r="M334" s="7" t="s">
        <v>3462</v>
      </c>
      <c r="N334" s="7" t="s">
        <v>3595</v>
      </c>
      <c r="O334" s="7" t="s">
        <v>3596</v>
      </c>
      <c r="P334" s="13" t="s">
        <v>3597</v>
      </c>
    </row>
    <row r="335" spans="1:16" x14ac:dyDescent="0.25">
      <c r="A335" s="7" t="s">
        <v>1894</v>
      </c>
      <c r="B335" s="7" t="str">
        <f>"1470"</f>
        <v>1470</v>
      </c>
      <c r="C335" s="7">
        <v>2020</v>
      </c>
      <c r="D335" s="7" t="s">
        <v>1867</v>
      </c>
      <c r="E335" s="7" t="s">
        <v>1868</v>
      </c>
      <c r="F335" s="7" t="s">
        <v>3974</v>
      </c>
      <c r="G335" s="7" t="s">
        <v>1871</v>
      </c>
      <c r="H335" s="7">
        <v>98383192</v>
      </c>
      <c r="I335" s="7">
        <v>0</v>
      </c>
      <c r="J335" s="7" t="s">
        <v>3975</v>
      </c>
      <c r="K335" s="8">
        <v>10600000</v>
      </c>
      <c r="L335" s="7" t="s">
        <v>3822</v>
      </c>
      <c r="M335" s="7" t="s">
        <v>3378</v>
      </c>
      <c r="N335" s="7" t="s">
        <v>3976</v>
      </c>
      <c r="O335" s="7"/>
      <c r="P335" s="13" t="s">
        <v>1993</v>
      </c>
    </row>
    <row r="336" spans="1:16" ht="45" x14ac:dyDescent="0.25">
      <c r="A336" s="7" t="s">
        <v>1894</v>
      </c>
      <c r="B336" s="7" t="str">
        <f>"1511"</f>
        <v>1511</v>
      </c>
      <c r="C336" s="7">
        <v>2020</v>
      </c>
      <c r="D336" s="7" t="s">
        <v>1867</v>
      </c>
      <c r="E336" s="7" t="s">
        <v>1868</v>
      </c>
      <c r="F336" s="7" t="s">
        <v>4046</v>
      </c>
      <c r="G336" s="7" t="s">
        <v>1871</v>
      </c>
      <c r="H336" s="7">
        <v>27255475</v>
      </c>
      <c r="I336" s="7">
        <v>8</v>
      </c>
      <c r="J336" s="7" t="s">
        <v>1902</v>
      </c>
      <c r="K336" s="8">
        <v>13757952</v>
      </c>
      <c r="L336" s="7" t="s">
        <v>3972</v>
      </c>
      <c r="M336" s="7" t="s">
        <v>1909</v>
      </c>
      <c r="N336" s="7" t="s">
        <v>4047</v>
      </c>
      <c r="O336" s="7"/>
      <c r="P336" s="13" t="s">
        <v>4048</v>
      </c>
    </row>
    <row r="337" spans="1:16" ht="45" x14ac:dyDescent="0.25">
      <c r="A337" s="7" t="s">
        <v>1894</v>
      </c>
      <c r="B337" s="7" t="str">
        <f>"1537"</f>
        <v>1537</v>
      </c>
      <c r="C337" s="7">
        <v>2020</v>
      </c>
      <c r="D337" s="7" t="s">
        <v>1867</v>
      </c>
      <c r="E337" s="7" t="s">
        <v>1875</v>
      </c>
      <c r="F337" s="7" t="s">
        <v>4088</v>
      </c>
      <c r="G337" s="7" t="s">
        <v>1871</v>
      </c>
      <c r="H337" s="7">
        <v>1082747575</v>
      </c>
      <c r="I337" s="7">
        <v>9</v>
      </c>
      <c r="J337" s="7" t="s">
        <v>3709</v>
      </c>
      <c r="K337" s="8">
        <v>9600000</v>
      </c>
      <c r="L337" s="7" t="s">
        <v>2207</v>
      </c>
      <c r="M337" s="7" t="s">
        <v>1909</v>
      </c>
      <c r="N337" s="7" t="s">
        <v>2156</v>
      </c>
      <c r="O337" s="7"/>
      <c r="P337" s="13" t="s">
        <v>4089</v>
      </c>
    </row>
    <row r="338" spans="1:16" ht="45" x14ac:dyDescent="0.25">
      <c r="A338" s="7" t="s">
        <v>1894</v>
      </c>
      <c r="B338" s="7" t="str">
        <f>"1539"</f>
        <v>1539</v>
      </c>
      <c r="C338" s="7">
        <v>2020</v>
      </c>
      <c r="D338" s="7" t="s">
        <v>1867</v>
      </c>
      <c r="E338" s="7" t="s">
        <v>1868</v>
      </c>
      <c r="F338" s="7" t="s">
        <v>4092</v>
      </c>
      <c r="G338" s="7" t="s">
        <v>1871</v>
      </c>
      <c r="H338" s="7">
        <v>1085246397</v>
      </c>
      <c r="I338" s="7">
        <v>5</v>
      </c>
      <c r="J338" s="7" t="s">
        <v>3260</v>
      </c>
      <c r="K338" s="8">
        <v>13757952</v>
      </c>
      <c r="L338" s="7" t="s">
        <v>2207</v>
      </c>
      <c r="M338" s="7" t="s">
        <v>3832</v>
      </c>
      <c r="N338" s="7" t="s">
        <v>4093</v>
      </c>
      <c r="O338" s="7"/>
      <c r="P338" s="13" t="s">
        <v>4094</v>
      </c>
    </row>
    <row r="339" spans="1:16" ht="45" x14ac:dyDescent="0.25">
      <c r="A339" s="7" t="s">
        <v>1894</v>
      </c>
      <c r="B339" s="7" t="str">
        <f>"1536"</f>
        <v>1536</v>
      </c>
      <c r="C339" s="7">
        <v>2020</v>
      </c>
      <c r="D339" s="7" t="s">
        <v>1867</v>
      </c>
      <c r="E339" s="7" t="s">
        <v>1868</v>
      </c>
      <c r="F339" s="7" t="s">
        <v>4085</v>
      </c>
      <c r="G339" s="7" t="s">
        <v>1871</v>
      </c>
      <c r="H339" s="7">
        <v>87060703</v>
      </c>
      <c r="I339" s="7">
        <v>0</v>
      </c>
      <c r="J339" s="7" t="s">
        <v>3259</v>
      </c>
      <c r="K339" s="8">
        <v>13757952</v>
      </c>
      <c r="L339" s="7" t="s">
        <v>2207</v>
      </c>
      <c r="M339" s="7" t="s">
        <v>1909</v>
      </c>
      <c r="N339" s="7" t="s">
        <v>4086</v>
      </c>
      <c r="O339" s="7"/>
      <c r="P339" s="13" t="s">
        <v>4087</v>
      </c>
    </row>
    <row r="340" spans="1:16" ht="45" x14ac:dyDescent="0.25">
      <c r="A340" s="7" t="s">
        <v>1894</v>
      </c>
      <c r="B340" s="7" t="str">
        <f>"1538"</f>
        <v>1538</v>
      </c>
      <c r="C340" s="7">
        <v>2020</v>
      </c>
      <c r="D340" s="7" t="s">
        <v>1867</v>
      </c>
      <c r="E340" s="7" t="s">
        <v>1868</v>
      </c>
      <c r="F340" s="7" t="s">
        <v>4090</v>
      </c>
      <c r="G340" s="7" t="s">
        <v>1871</v>
      </c>
      <c r="H340" s="7">
        <v>1085276539</v>
      </c>
      <c r="I340" s="7">
        <v>0</v>
      </c>
      <c r="J340" s="7" t="s">
        <v>3261</v>
      </c>
      <c r="K340" s="8">
        <v>13757952</v>
      </c>
      <c r="L340" s="7" t="s">
        <v>2207</v>
      </c>
      <c r="M340" s="7" t="s">
        <v>1909</v>
      </c>
      <c r="N340" s="7" t="s">
        <v>4086</v>
      </c>
      <c r="O340" s="7"/>
      <c r="P340" s="13" t="s">
        <v>4091</v>
      </c>
    </row>
    <row r="341" spans="1:16" ht="45" x14ac:dyDescent="0.25">
      <c r="A341" s="7" t="s">
        <v>1894</v>
      </c>
      <c r="B341" s="7" t="str">
        <f>"1569"</f>
        <v>1569</v>
      </c>
      <c r="C341" s="7">
        <v>2020</v>
      </c>
      <c r="D341" s="7" t="s">
        <v>1867</v>
      </c>
      <c r="E341" s="7" t="s">
        <v>1868</v>
      </c>
      <c r="F341" s="7" t="s">
        <v>4149</v>
      </c>
      <c r="G341" s="7" t="s">
        <v>1871</v>
      </c>
      <c r="H341" s="7">
        <v>36751280</v>
      </c>
      <c r="I341" s="7"/>
      <c r="J341" s="7" t="s">
        <v>1901</v>
      </c>
      <c r="K341" s="8">
        <v>13757952</v>
      </c>
      <c r="L341" s="7" t="s">
        <v>3882</v>
      </c>
      <c r="M341" s="7" t="s">
        <v>1909</v>
      </c>
      <c r="N341" s="7" t="s">
        <v>4150</v>
      </c>
      <c r="O341" s="7"/>
      <c r="P341" s="13" t="s">
        <v>4151</v>
      </c>
    </row>
    <row r="342" spans="1:16" x14ac:dyDescent="0.25">
      <c r="A342" s="7" t="s">
        <v>1894</v>
      </c>
      <c r="B342" s="7" t="str">
        <f>"1573"</f>
        <v>1573</v>
      </c>
      <c r="C342" s="7">
        <v>2020</v>
      </c>
      <c r="D342" s="7" t="s">
        <v>1867</v>
      </c>
      <c r="E342" s="7" t="s">
        <v>1868</v>
      </c>
      <c r="F342" s="7" t="s">
        <v>4159</v>
      </c>
      <c r="G342" s="7" t="s">
        <v>1871</v>
      </c>
      <c r="H342" s="7">
        <v>36758607</v>
      </c>
      <c r="I342" s="7">
        <v>5</v>
      </c>
      <c r="J342" s="7" t="s">
        <v>4160</v>
      </c>
      <c r="K342" s="8">
        <v>13757952</v>
      </c>
      <c r="L342" s="7" t="s">
        <v>3882</v>
      </c>
      <c r="M342" s="7" t="s">
        <v>3200</v>
      </c>
      <c r="N342" s="7" t="s">
        <v>4150</v>
      </c>
      <c r="O342" s="7"/>
      <c r="P342" s="13" t="s">
        <v>1993</v>
      </c>
    </row>
    <row r="343" spans="1:16" ht="45" x14ac:dyDescent="0.25">
      <c r="A343" s="7" t="s">
        <v>1894</v>
      </c>
      <c r="B343" s="7" t="str">
        <f>"1570"</f>
        <v>1570</v>
      </c>
      <c r="C343" s="7">
        <v>2020</v>
      </c>
      <c r="D343" s="7" t="s">
        <v>1867</v>
      </c>
      <c r="E343" s="7" t="s">
        <v>1868</v>
      </c>
      <c r="F343" s="7" t="s">
        <v>4152</v>
      </c>
      <c r="G343" s="7" t="s">
        <v>1871</v>
      </c>
      <c r="H343" s="7">
        <v>1085267901</v>
      </c>
      <c r="I343" s="7">
        <v>8</v>
      </c>
      <c r="J343" s="7" t="s">
        <v>4153</v>
      </c>
      <c r="K343" s="8">
        <v>15821644</v>
      </c>
      <c r="L343" s="7" t="s">
        <v>3882</v>
      </c>
      <c r="M343" s="7" t="s">
        <v>4057</v>
      </c>
      <c r="N343" s="7" t="s">
        <v>4154</v>
      </c>
      <c r="O343" s="7" t="s">
        <v>4122</v>
      </c>
      <c r="P343" s="13" t="s">
        <v>4155</v>
      </c>
    </row>
    <row r="344" spans="1:16" ht="45" x14ac:dyDescent="0.25">
      <c r="A344" s="7" t="s">
        <v>1894</v>
      </c>
      <c r="B344" s="7" t="str">
        <f>"1540"</f>
        <v>1540</v>
      </c>
      <c r="C344" s="7">
        <v>2020</v>
      </c>
      <c r="D344" s="7" t="s">
        <v>1867</v>
      </c>
      <c r="E344" s="7" t="s">
        <v>1868</v>
      </c>
      <c r="F344" s="7" t="s">
        <v>4095</v>
      </c>
      <c r="G344" s="7" t="s">
        <v>1871</v>
      </c>
      <c r="H344" s="7">
        <v>1018425109</v>
      </c>
      <c r="I344" s="7">
        <v>5</v>
      </c>
      <c r="J344" s="7" t="s">
        <v>4096</v>
      </c>
      <c r="K344" s="8">
        <v>17197440</v>
      </c>
      <c r="L344" s="7" t="s">
        <v>2207</v>
      </c>
      <c r="M344" s="7" t="s">
        <v>3816</v>
      </c>
      <c r="N344" s="7" t="s">
        <v>3948</v>
      </c>
      <c r="O344" s="7"/>
      <c r="P344" s="13" t="s">
        <v>4097</v>
      </c>
    </row>
    <row r="345" spans="1:16" ht="45" x14ac:dyDescent="0.25">
      <c r="A345" s="7" t="s">
        <v>1894</v>
      </c>
      <c r="B345" s="7" t="str">
        <f>"1541"</f>
        <v>1541</v>
      </c>
      <c r="C345" s="7">
        <v>2020</v>
      </c>
      <c r="D345" s="7" t="s">
        <v>1867</v>
      </c>
      <c r="E345" s="7" t="s">
        <v>1868</v>
      </c>
      <c r="F345" s="7" t="s">
        <v>4098</v>
      </c>
      <c r="G345" s="7" t="s">
        <v>1871</v>
      </c>
      <c r="H345" s="7">
        <v>37087671</v>
      </c>
      <c r="I345" s="7">
        <v>0</v>
      </c>
      <c r="J345" s="7" t="s">
        <v>4099</v>
      </c>
      <c r="K345" s="8">
        <v>17197440</v>
      </c>
      <c r="L345" s="7" t="s">
        <v>2207</v>
      </c>
      <c r="M345" s="7" t="s">
        <v>3816</v>
      </c>
      <c r="N345" s="7" t="s">
        <v>3948</v>
      </c>
      <c r="O345" s="7" t="s">
        <v>4100</v>
      </c>
      <c r="P345" s="13" t="s">
        <v>4101</v>
      </c>
    </row>
    <row r="346" spans="1:16" ht="45" x14ac:dyDescent="0.25">
      <c r="A346" s="7" t="s">
        <v>1894</v>
      </c>
      <c r="B346" s="7" t="str">
        <f>"1556"</f>
        <v>1556</v>
      </c>
      <c r="C346" s="7">
        <v>2020</v>
      </c>
      <c r="D346" s="7" t="s">
        <v>1867</v>
      </c>
      <c r="E346" s="7" t="s">
        <v>1868</v>
      </c>
      <c r="F346" s="7" t="s">
        <v>4120</v>
      </c>
      <c r="G346" s="7" t="s">
        <v>1871</v>
      </c>
      <c r="H346" s="7">
        <v>1085324035</v>
      </c>
      <c r="I346" s="7">
        <v>9</v>
      </c>
      <c r="J346" s="7" t="s">
        <v>4121</v>
      </c>
      <c r="K346" s="8">
        <v>17197440</v>
      </c>
      <c r="L346" s="7" t="s">
        <v>2207</v>
      </c>
      <c r="M346" s="7" t="s">
        <v>3816</v>
      </c>
      <c r="N346" s="7" t="s">
        <v>3948</v>
      </c>
      <c r="O346" s="7" t="s">
        <v>4122</v>
      </c>
      <c r="P346" s="13" t="s">
        <v>4123</v>
      </c>
    </row>
    <row r="347" spans="1:16" ht="45" x14ac:dyDescent="0.25">
      <c r="A347" s="7" t="s">
        <v>1894</v>
      </c>
      <c r="B347" s="7" t="str">
        <f>"1557"</f>
        <v>1557</v>
      </c>
      <c r="C347" s="7">
        <v>2020</v>
      </c>
      <c r="D347" s="7" t="s">
        <v>1867</v>
      </c>
      <c r="E347" s="7" t="s">
        <v>1868</v>
      </c>
      <c r="F347" s="7" t="s">
        <v>4124</v>
      </c>
      <c r="G347" s="7" t="s">
        <v>1871</v>
      </c>
      <c r="H347" s="7">
        <v>1085335448</v>
      </c>
      <c r="I347" s="7">
        <v>4</v>
      </c>
      <c r="J347" s="7" t="s">
        <v>4125</v>
      </c>
      <c r="K347" s="8">
        <v>17197440</v>
      </c>
      <c r="L347" s="7" t="s">
        <v>2207</v>
      </c>
      <c r="M347" s="7" t="s">
        <v>3816</v>
      </c>
      <c r="N347" s="7" t="s">
        <v>3948</v>
      </c>
      <c r="O347" s="7" t="s">
        <v>4122</v>
      </c>
      <c r="P347" s="13" t="s">
        <v>4126</v>
      </c>
    </row>
    <row r="348" spans="1:16" ht="45" x14ac:dyDescent="0.25">
      <c r="A348" s="7" t="s">
        <v>1894</v>
      </c>
      <c r="B348" s="7" t="str">
        <f>"1558"</f>
        <v>1558</v>
      </c>
      <c r="C348" s="7">
        <v>2020</v>
      </c>
      <c r="D348" s="7" t="s">
        <v>1867</v>
      </c>
      <c r="E348" s="7" t="s">
        <v>1868</v>
      </c>
      <c r="F348" s="7" t="s">
        <v>4127</v>
      </c>
      <c r="G348" s="7" t="s">
        <v>1871</v>
      </c>
      <c r="H348" s="7">
        <v>1085335448</v>
      </c>
      <c r="I348" s="7">
        <v>1</v>
      </c>
      <c r="J348" s="7" t="s">
        <v>4128</v>
      </c>
      <c r="K348" s="8">
        <v>17197440</v>
      </c>
      <c r="L348" s="7" t="s">
        <v>2207</v>
      </c>
      <c r="M348" s="7" t="s">
        <v>3816</v>
      </c>
      <c r="N348" s="7" t="s">
        <v>3948</v>
      </c>
      <c r="O348" s="7" t="s">
        <v>4122</v>
      </c>
      <c r="P348" s="13" t="s">
        <v>4129</v>
      </c>
    </row>
    <row r="349" spans="1:16" ht="45" x14ac:dyDescent="0.25">
      <c r="A349" s="7" t="s">
        <v>1894</v>
      </c>
      <c r="B349" s="7" t="str">
        <f>"1559"</f>
        <v>1559</v>
      </c>
      <c r="C349" s="7">
        <v>2020</v>
      </c>
      <c r="D349" s="7" t="s">
        <v>1867</v>
      </c>
      <c r="E349" s="7" t="s">
        <v>1868</v>
      </c>
      <c r="F349" s="7" t="s">
        <v>4127</v>
      </c>
      <c r="G349" s="7" t="s">
        <v>1871</v>
      </c>
      <c r="H349" s="7">
        <v>1085335448</v>
      </c>
      <c r="I349" s="7">
        <v>6</v>
      </c>
      <c r="J349" s="7" t="s">
        <v>4130</v>
      </c>
      <c r="K349" s="8">
        <v>17197440</v>
      </c>
      <c r="L349" s="7" t="s">
        <v>2207</v>
      </c>
      <c r="M349" s="7" t="s">
        <v>3816</v>
      </c>
      <c r="N349" s="7" t="s">
        <v>3948</v>
      </c>
      <c r="O349" s="7" t="s">
        <v>4122</v>
      </c>
      <c r="P349" s="13" t="s">
        <v>4131</v>
      </c>
    </row>
    <row r="350" spans="1:16" ht="45" x14ac:dyDescent="0.25">
      <c r="A350" s="7" t="s">
        <v>1894</v>
      </c>
      <c r="B350" s="7" t="str">
        <f>"1571"</f>
        <v>1571</v>
      </c>
      <c r="C350" s="7">
        <v>2020</v>
      </c>
      <c r="D350" s="7" t="s">
        <v>1867</v>
      </c>
      <c r="E350" s="7" t="s">
        <v>1868</v>
      </c>
      <c r="F350" s="7" t="s">
        <v>4152</v>
      </c>
      <c r="G350" s="7" t="s">
        <v>1871</v>
      </c>
      <c r="H350" s="7">
        <v>59312639</v>
      </c>
      <c r="I350" s="7">
        <v>1</v>
      </c>
      <c r="J350" s="7" t="s">
        <v>4156</v>
      </c>
      <c r="K350" s="8">
        <v>15821644</v>
      </c>
      <c r="L350" s="7" t="s">
        <v>3882</v>
      </c>
      <c r="M350" s="7" t="s">
        <v>3832</v>
      </c>
      <c r="N350" s="7" t="s">
        <v>1974</v>
      </c>
      <c r="O350" s="7" t="s">
        <v>4122</v>
      </c>
      <c r="P350" s="13" t="s">
        <v>4157</v>
      </c>
    </row>
    <row r="351" spans="1:16" ht="45" x14ac:dyDescent="0.25">
      <c r="A351" s="7" t="s">
        <v>1894</v>
      </c>
      <c r="B351" s="7" t="str">
        <f>"1578"</f>
        <v>1578</v>
      </c>
      <c r="C351" s="7">
        <v>2020</v>
      </c>
      <c r="D351" s="7" t="s">
        <v>1867</v>
      </c>
      <c r="E351" s="7" t="s">
        <v>1868</v>
      </c>
      <c r="F351" s="7" t="s">
        <v>4168</v>
      </c>
      <c r="G351" s="7" t="s">
        <v>1871</v>
      </c>
      <c r="H351" s="7">
        <v>1085288352</v>
      </c>
      <c r="I351" s="7">
        <v>4</v>
      </c>
      <c r="J351" s="7" t="s">
        <v>4169</v>
      </c>
      <c r="K351" s="8">
        <v>15821644</v>
      </c>
      <c r="L351" s="7" t="s">
        <v>3882</v>
      </c>
      <c r="M351" s="7" t="s">
        <v>1986</v>
      </c>
      <c r="N351" s="7" t="s">
        <v>1974</v>
      </c>
      <c r="O351" s="7"/>
      <c r="P351" s="13" t="s">
        <v>4170</v>
      </c>
    </row>
    <row r="352" spans="1:16" ht="45" x14ac:dyDescent="0.25">
      <c r="A352" s="7" t="s">
        <v>1894</v>
      </c>
      <c r="B352" s="7" t="str">
        <f>"1579"</f>
        <v>1579</v>
      </c>
      <c r="C352" s="7">
        <v>2020</v>
      </c>
      <c r="D352" s="7" t="s">
        <v>1867</v>
      </c>
      <c r="E352" s="7" t="s">
        <v>1868</v>
      </c>
      <c r="F352" s="7" t="s">
        <v>4171</v>
      </c>
      <c r="G352" s="7" t="s">
        <v>1871</v>
      </c>
      <c r="H352" s="7">
        <v>12996192</v>
      </c>
      <c r="I352" s="7">
        <v>3</v>
      </c>
      <c r="J352" s="7" t="s">
        <v>4172</v>
      </c>
      <c r="K352" s="8">
        <v>15821644</v>
      </c>
      <c r="L352" s="7" t="s">
        <v>3882</v>
      </c>
      <c r="M352" s="7" t="s">
        <v>1986</v>
      </c>
      <c r="N352" s="7" t="s">
        <v>1974</v>
      </c>
      <c r="O352" s="7" t="s">
        <v>4173</v>
      </c>
      <c r="P352" s="13" t="s">
        <v>4174</v>
      </c>
    </row>
    <row r="353" spans="1:16" ht="45" x14ac:dyDescent="0.25">
      <c r="A353" s="7" t="s">
        <v>1894</v>
      </c>
      <c r="B353" s="7" t="str">
        <f>"1580"</f>
        <v>1580</v>
      </c>
      <c r="C353" s="7">
        <v>2020</v>
      </c>
      <c r="D353" s="7" t="s">
        <v>1867</v>
      </c>
      <c r="E353" s="7" t="s">
        <v>1868</v>
      </c>
      <c r="F353" s="7" t="s">
        <v>4175</v>
      </c>
      <c r="G353" s="7" t="s">
        <v>1871</v>
      </c>
      <c r="H353" s="7">
        <v>27156064</v>
      </c>
      <c r="I353" s="7">
        <v>1</v>
      </c>
      <c r="J353" s="7" t="s">
        <v>4176</v>
      </c>
      <c r="K353" s="8">
        <v>15821644</v>
      </c>
      <c r="L353" s="7" t="s">
        <v>3882</v>
      </c>
      <c r="M353" s="7" t="s">
        <v>3053</v>
      </c>
      <c r="N353" s="7" t="s">
        <v>1974</v>
      </c>
      <c r="O353" s="7" t="s">
        <v>4122</v>
      </c>
      <c r="P353" s="13" t="s">
        <v>4177</v>
      </c>
    </row>
    <row r="354" spans="1:16" ht="45" x14ac:dyDescent="0.25">
      <c r="A354" s="7" t="s">
        <v>1894</v>
      </c>
      <c r="B354" s="7" t="str">
        <f>"1581"</f>
        <v>1581</v>
      </c>
      <c r="C354" s="7">
        <v>2020</v>
      </c>
      <c r="D354" s="7" t="s">
        <v>1867</v>
      </c>
      <c r="E354" s="7" t="s">
        <v>1868</v>
      </c>
      <c r="F354" s="7" t="s">
        <v>4178</v>
      </c>
      <c r="G354" s="7" t="s">
        <v>1871</v>
      </c>
      <c r="H354" s="7">
        <v>1085308911</v>
      </c>
      <c r="I354" s="7">
        <v>0</v>
      </c>
      <c r="J354" s="7" t="s">
        <v>4179</v>
      </c>
      <c r="K354" s="8">
        <v>15821644</v>
      </c>
      <c r="L354" s="7" t="s">
        <v>3882</v>
      </c>
      <c r="M354" s="7" t="s">
        <v>3050</v>
      </c>
      <c r="N354" s="7" t="s">
        <v>1974</v>
      </c>
      <c r="O354" s="7" t="s">
        <v>4122</v>
      </c>
      <c r="P354" s="13" t="s">
        <v>4180</v>
      </c>
    </row>
    <row r="355" spans="1:16" ht="45" x14ac:dyDescent="0.25">
      <c r="A355" s="7" t="s">
        <v>1894</v>
      </c>
      <c r="B355" s="7" t="str">
        <f>"1582"</f>
        <v>1582</v>
      </c>
      <c r="C355" s="7">
        <v>2020</v>
      </c>
      <c r="D355" s="7" t="s">
        <v>1867</v>
      </c>
      <c r="E355" s="7" t="s">
        <v>1868</v>
      </c>
      <c r="F355" s="7" t="s">
        <v>4181</v>
      </c>
      <c r="G355" s="7" t="s">
        <v>1871</v>
      </c>
      <c r="H355" s="7">
        <v>1084221950</v>
      </c>
      <c r="I355" s="7">
        <v>7</v>
      </c>
      <c r="J355" s="7" t="s">
        <v>4182</v>
      </c>
      <c r="K355" s="8">
        <v>15821644</v>
      </c>
      <c r="L355" s="7" t="s">
        <v>3882</v>
      </c>
      <c r="M355" s="7" t="s">
        <v>1986</v>
      </c>
      <c r="N355" s="7" t="s">
        <v>1974</v>
      </c>
      <c r="O355" s="7" t="s">
        <v>4122</v>
      </c>
      <c r="P355" s="13" t="s">
        <v>4180</v>
      </c>
    </row>
    <row r="356" spans="1:16" ht="45" x14ac:dyDescent="0.25">
      <c r="A356" s="7" t="s">
        <v>1894</v>
      </c>
      <c r="B356" s="7" t="str">
        <f>"1583"</f>
        <v>1583</v>
      </c>
      <c r="C356" s="7">
        <v>2020</v>
      </c>
      <c r="D356" s="7" t="s">
        <v>1867</v>
      </c>
      <c r="E356" s="7" t="s">
        <v>1868</v>
      </c>
      <c r="F356" s="7" t="s">
        <v>4183</v>
      </c>
      <c r="G356" s="7" t="s">
        <v>1871</v>
      </c>
      <c r="H356" s="7">
        <v>13069308</v>
      </c>
      <c r="I356" s="7">
        <v>8</v>
      </c>
      <c r="J356" s="7" t="s">
        <v>4184</v>
      </c>
      <c r="K356" s="8">
        <v>15821644</v>
      </c>
      <c r="L356" s="7" t="s">
        <v>3882</v>
      </c>
      <c r="M356" s="7" t="s">
        <v>1986</v>
      </c>
      <c r="N356" s="7" t="s">
        <v>1974</v>
      </c>
      <c r="O356" s="7" t="s">
        <v>4173</v>
      </c>
      <c r="P356" s="13" t="s">
        <v>4185</v>
      </c>
    </row>
    <row r="357" spans="1:16" x14ac:dyDescent="0.25">
      <c r="A357" s="7" t="s">
        <v>1894</v>
      </c>
      <c r="B357" s="7" t="str">
        <f>"1588"</f>
        <v>1588</v>
      </c>
      <c r="C357" s="7">
        <v>2020</v>
      </c>
      <c r="D357" s="7" t="s">
        <v>1867</v>
      </c>
      <c r="E357" s="7" t="s">
        <v>1868</v>
      </c>
      <c r="F357" s="7" t="s">
        <v>4193</v>
      </c>
      <c r="G357" s="7" t="s">
        <v>1871</v>
      </c>
      <c r="H357" s="7">
        <v>87062434</v>
      </c>
      <c r="I357" s="7">
        <v>5</v>
      </c>
      <c r="J357" s="7" t="s">
        <v>2927</v>
      </c>
      <c r="K357" s="8">
        <v>15821644</v>
      </c>
      <c r="L357" s="7" t="s">
        <v>3882</v>
      </c>
      <c r="M357" s="7" t="s">
        <v>1986</v>
      </c>
      <c r="N357" s="7" t="s">
        <v>1974</v>
      </c>
      <c r="O357" s="7"/>
      <c r="P357" s="13" t="s">
        <v>1993</v>
      </c>
    </row>
    <row r="358" spans="1:16" x14ac:dyDescent="0.25">
      <c r="A358" s="7" t="s">
        <v>1894</v>
      </c>
      <c r="B358" s="7" t="str">
        <f>"1589"</f>
        <v>1589</v>
      </c>
      <c r="C358" s="7">
        <v>2020</v>
      </c>
      <c r="D358" s="7" t="s">
        <v>1867</v>
      </c>
      <c r="E358" s="7" t="s">
        <v>1868</v>
      </c>
      <c r="F358" s="7" t="s">
        <v>4194</v>
      </c>
      <c r="G358" s="7" t="s">
        <v>1871</v>
      </c>
      <c r="H358" s="7">
        <v>1085273161</v>
      </c>
      <c r="I358" s="7">
        <v>9</v>
      </c>
      <c r="J358" s="7" t="s">
        <v>4195</v>
      </c>
      <c r="K358" s="8">
        <v>15821644</v>
      </c>
      <c r="L358" s="7" t="s">
        <v>3882</v>
      </c>
      <c r="M358" s="7" t="s">
        <v>3200</v>
      </c>
      <c r="N358" s="7" t="s">
        <v>1974</v>
      </c>
      <c r="O358" s="7"/>
      <c r="P358" s="13" t="s">
        <v>1993</v>
      </c>
    </row>
    <row r="359" spans="1:16" ht="45" x14ac:dyDescent="0.25">
      <c r="A359" s="7" t="s">
        <v>1894</v>
      </c>
      <c r="B359" s="7" t="str">
        <f>"1590"</f>
        <v>1590</v>
      </c>
      <c r="C359" s="7">
        <v>2020</v>
      </c>
      <c r="D359" s="7" t="s">
        <v>1867</v>
      </c>
      <c r="E359" s="7" t="s">
        <v>1868</v>
      </c>
      <c r="F359" s="7" t="s">
        <v>4196</v>
      </c>
      <c r="G359" s="7" t="s">
        <v>1871</v>
      </c>
      <c r="H359" s="7">
        <v>12752644</v>
      </c>
      <c r="I359" s="7"/>
      <c r="J359" s="7" t="s">
        <v>4197</v>
      </c>
      <c r="K359" s="8">
        <v>15821644</v>
      </c>
      <c r="L359" s="7" t="s">
        <v>3882</v>
      </c>
      <c r="M359" s="7" t="s">
        <v>2070</v>
      </c>
      <c r="N359" s="7" t="s">
        <v>1974</v>
      </c>
      <c r="O359" s="7" t="s">
        <v>4198</v>
      </c>
      <c r="P359" s="13" t="s">
        <v>4199</v>
      </c>
    </row>
    <row r="360" spans="1:16" x14ac:dyDescent="0.25">
      <c r="A360" s="7" t="s">
        <v>1894</v>
      </c>
      <c r="B360" s="7" t="str">
        <f>"1591"</f>
        <v>1591</v>
      </c>
      <c r="C360" s="7">
        <v>2020</v>
      </c>
      <c r="D360" s="7" t="s">
        <v>1867</v>
      </c>
      <c r="E360" s="7" t="s">
        <v>1868</v>
      </c>
      <c r="F360" s="7" t="s">
        <v>4200</v>
      </c>
      <c r="G360" s="7" t="s">
        <v>1871</v>
      </c>
      <c r="H360" s="7">
        <v>13040267</v>
      </c>
      <c r="I360" s="7">
        <v>8</v>
      </c>
      <c r="J360" s="7" t="s">
        <v>4201</v>
      </c>
      <c r="K360" s="8">
        <v>15821644</v>
      </c>
      <c r="L360" s="7" t="s">
        <v>3882</v>
      </c>
      <c r="M360" s="7" t="s">
        <v>3272</v>
      </c>
      <c r="N360" s="7" t="s">
        <v>1974</v>
      </c>
      <c r="O360" s="7"/>
      <c r="P360" s="13" t="s">
        <v>1993</v>
      </c>
    </row>
    <row r="361" spans="1:16" x14ac:dyDescent="0.25">
      <c r="A361" s="7" t="s">
        <v>1894</v>
      </c>
      <c r="B361" s="7" t="str">
        <f>"1670"</f>
        <v>1670</v>
      </c>
      <c r="C361" s="7">
        <v>2020</v>
      </c>
      <c r="D361" s="7" t="s">
        <v>1867</v>
      </c>
      <c r="E361" s="7" t="s">
        <v>1875</v>
      </c>
      <c r="F361" s="7" t="s">
        <v>4266</v>
      </c>
      <c r="G361" s="7" t="s">
        <v>1871</v>
      </c>
      <c r="H361" s="7">
        <v>52262642</v>
      </c>
      <c r="I361" s="7">
        <v>1</v>
      </c>
      <c r="J361" s="7" t="s">
        <v>4267</v>
      </c>
      <c r="K361" s="8">
        <v>10600000</v>
      </c>
      <c r="L361" s="7" t="s">
        <v>1915</v>
      </c>
      <c r="M361" s="7" t="s">
        <v>2432</v>
      </c>
      <c r="N361" s="7" t="s">
        <v>1974</v>
      </c>
      <c r="O361" s="7"/>
      <c r="P361" s="13" t="s">
        <v>1993</v>
      </c>
    </row>
    <row r="362" spans="1:16" ht="30" x14ac:dyDescent="0.25">
      <c r="A362" s="7" t="s">
        <v>1883</v>
      </c>
      <c r="B362" s="7" t="str">
        <f>"1028"</f>
        <v>1028</v>
      </c>
      <c r="C362" s="7">
        <v>2020</v>
      </c>
      <c r="D362" s="7" t="s">
        <v>1867</v>
      </c>
      <c r="E362" s="7" t="s">
        <v>1875</v>
      </c>
      <c r="F362" s="7" t="s">
        <v>3496</v>
      </c>
      <c r="G362" s="7" t="s">
        <v>1871</v>
      </c>
      <c r="H362" s="7">
        <v>12980983</v>
      </c>
      <c r="I362" s="7">
        <v>2</v>
      </c>
      <c r="J362" s="7" t="s">
        <v>3235</v>
      </c>
      <c r="K362" s="8">
        <v>11448000</v>
      </c>
      <c r="L362" s="7" t="s">
        <v>2239</v>
      </c>
      <c r="M362" s="7" t="s">
        <v>2321</v>
      </c>
      <c r="N362" s="7" t="s">
        <v>3476</v>
      </c>
      <c r="O362" s="7"/>
      <c r="P362" s="13" t="s">
        <v>3497</v>
      </c>
    </row>
    <row r="363" spans="1:16" ht="30" x14ac:dyDescent="0.25">
      <c r="A363" s="7" t="s">
        <v>1883</v>
      </c>
      <c r="B363" s="7" t="str">
        <f>"0202"</f>
        <v>0202</v>
      </c>
      <c r="C363" s="7">
        <v>2020</v>
      </c>
      <c r="D363" s="7" t="s">
        <v>1867</v>
      </c>
      <c r="E363" s="7" t="s">
        <v>1868</v>
      </c>
      <c r="F363" s="7" t="s">
        <v>2089</v>
      </c>
      <c r="G363" s="7" t="s">
        <v>1871</v>
      </c>
      <c r="H363" s="7">
        <v>5207307</v>
      </c>
      <c r="I363" s="7">
        <v>4</v>
      </c>
      <c r="J363" s="7" t="s">
        <v>2091</v>
      </c>
      <c r="K363" s="8">
        <v>27515904</v>
      </c>
      <c r="L363" s="7" t="s">
        <v>2090</v>
      </c>
      <c r="M363" s="7" t="s">
        <v>1914</v>
      </c>
      <c r="N363" s="7" t="s">
        <v>2070</v>
      </c>
      <c r="O363" s="7"/>
      <c r="P363" s="13" t="s">
        <v>2092</v>
      </c>
    </row>
    <row r="364" spans="1:16" ht="30" x14ac:dyDescent="0.25">
      <c r="A364" s="7" t="s">
        <v>1883</v>
      </c>
      <c r="B364" s="7" t="str">
        <f>"0203"</f>
        <v>0203</v>
      </c>
      <c r="C364" s="7">
        <v>2020</v>
      </c>
      <c r="D364" s="7" t="s">
        <v>1867</v>
      </c>
      <c r="E364" s="7" t="s">
        <v>1868</v>
      </c>
      <c r="F364" s="7" t="s">
        <v>2089</v>
      </c>
      <c r="G364" s="7" t="s">
        <v>1871</v>
      </c>
      <c r="H364" s="7">
        <v>27435180</v>
      </c>
      <c r="I364" s="7">
        <v>3</v>
      </c>
      <c r="J364" s="7" t="s">
        <v>2093</v>
      </c>
      <c r="K364" s="8">
        <v>27515904</v>
      </c>
      <c r="L364" s="7" t="s">
        <v>2090</v>
      </c>
      <c r="M364" s="7" t="s">
        <v>1914</v>
      </c>
      <c r="N364" s="7" t="s">
        <v>2070</v>
      </c>
      <c r="O364" s="7"/>
      <c r="P364" s="13" t="s">
        <v>2094</v>
      </c>
    </row>
    <row r="365" spans="1:16" ht="30" x14ac:dyDescent="0.25">
      <c r="A365" s="7" t="s">
        <v>1883</v>
      </c>
      <c r="B365" s="7" t="str">
        <f>"0853"</f>
        <v>0853</v>
      </c>
      <c r="C365" s="7">
        <v>2020</v>
      </c>
      <c r="D365" s="7" t="s">
        <v>1867</v>
      </c>
      <c r="E365" s="7" t="s">
        <v>1875</v>
      </c>
      <c r="F365" s="7" t="s">
        <v>3199</v>
      </c>
      <c r="G365" s="7" t="s">
        <v>1871</v>
      </c>
      <c r="H365" s="7">
        <v>1085325059</v>
      </c>
      <c r="I365" s="7">
        <v>1</v>
      </c>
      <c r="J365" s="7" t="s">
        <v>1896</v>
      </c>
      <c r="K365" s="8">
        <v>18550000</v>
      </c>
      <c r="L365" s="7" t="s">
        <v>2122</v>
      </c>
      <c r="M365" s="7" t="s">
        <v>2350</v>
      </c>
      <c r="N365" s="7" t="s">
        <v>3200</v>
      </c>
      <c r="O365" s="7" t="s">
        <v>3201</v>
      </c>
      <c r="P365" s="13" t="s">
        <v>3202</v>
      </c>
    </row>
    <row r="366" spans="1:16" ht="30" x14ac:dyDescent="0.25">
      <c r="A366" s="7" t="s">
        <v>1883</v>
      </c>
      <c r="B366" s="7" t="str">
        <f>"0854"</f>
        <v>0854</v>
      </c>
      <c r="C366" s="7">
        <v>2020</v>
      </c>
      <c r="D366" s="7" t="s">
        <v>1867</v>
      </c>
      <c r="E366" s="7" t="s">
        <v>1868</v>
      </c>
      <c r="F366" s="7" t="s">
        <v>3203</v>
      </c>
      <c r="G366" s="7" t="s">
        <v>1871</v>
      </c>
      <c r="H366" s="7">
        <v>12748132</v>
      </c>
      <c r="I366" s="7">
        <v>9</v>
      </c>
      <c r="J366" s="7" t="s">
        <v>1961</v>
      </c>
      <c r="K366" s="8">
        <v>24076416</v>
      </c>
      <c r="L366" s="7" t="s">
        <v>2122</v>
      </c>
      <c r="M366" s="7" t="s">
        <v>2417</v>
      </c>
      <c r="N366" s="7" t="s">
        <v>3200</v>
      </c>
      <c r="O366" s="7"/>
      <c r="P366" s="13" t="s">
        <v>3204</v>
      </c>
    </row>
    <row r="367" spans="1:16" ht="30" x14ac:dyDescent="0.25">
      <c r="A367" s="7" t="s">
        <v>1883</v>
      </c>
      <c r="B367" s="7" t="str">
        <f>"0872"</f>
        <v>0872</v>
      </c>
      <c r="C367" s="7">
        <v>2020</v>
      </c>
      <c r="D367" s="7" t="s">
        <v>1867</v>
      </c>
      <c r="E367" s="7" t="s">
        <v>1868</v>
      </c>
      <c r="F367" s="7" t="s">
        <v>3239</v>
      </c>
      <c r="G367" s="7" t="s">
        <v>1871</v>
      </c>
      <c r="H367" s="7">
        <v>1088729120</v>
      </c>
      <c r="I367" s="7">
        <v>7</v>
      </c>
      <c r="J367" s="7" t="s">
        <v>3240</v>
      </c>
      <c r="K367" s="8">
        <v>24076416</v>
      </c>
      <c r="L367" s="7" t="s">
        <v>2022</v>
      </c>
      <c r="M367" s="7" t="s">
        <v>2350</v>
      </c>
      <c r="N367" s="7" t="s">
        <v>3200</v>
      </c>
      <c r="O367" s="7"/>
      <c r="P367" s="13" t="s">
        <v>3241</v>
      </c>
    </row>
    <row r="368" spans="1:16" ht="30" x14ac:dyDescent="0.25">
      <c r="A368" s="7" t="s">
        <v>1883</v>
      </c>
      <c r="B368" s="7" t="str">
        <f>"0860"</f>
        <v>0860</v>
      </c>
      <c r="C368" s="7">
        <v>2020</v>
      </c>
      <c r="D368" s="7" t="s">
        <v>1867</v>
      </c>
      <c r="E368" s="7" t="s">
        <v>1875</v>
      </c>
      <c r="F368" s="7" t="s">
        <v>3212</v>
      </c>
      <c r="G368" s="7" t="s">
        <v>1871</v>
      </c>
      <c r="H368" s="7">
        <v>1085312313</v>
      </c>
      <c r="I368" s="7">
        <v>1</v>
      </c>
      <c r="J368" s="7" t="s">
        <v>3213</v>
      </c>
      <c r="K368" s="8">
        <v>18550000</v>
      </c>
      <c r="L368" s="7" t="s">
        <v>2022</v>
      </c>
      <c r="M368" s="7" t="s">
        <v>3214</v>
      </c>
      <c r="N368" s="7" t="s">
        <v>2117</v>
      </c>
      <c r="O368" s="7"/>
      <c r="P368" s="13" t="s">
        <v>3215</v>
      </c>
    </row>
    <row r="369" spans="1:16" ht="30" x14ac:dyDescent="0.25">
      <c r="A369" s="7" t="s">
        <v>1883</v>
      </c>
      <c r="B369" s="7" t="str">
        <f>"0867"</f>
        <v>0867</v>
      </c>
      <c r="C369" s="7">
        <v>2020</v>
      </c>
      <c r="D369" s="7" t="s">
        <v>1867</v>
      </c>
      <c r="E369" s="7" t="s">
        <v>1875</v>
      </c>
      <c r="F369" s="7" t="s">
        <v>1947</v>
      </c>
      <c r="G369" s="7" t="s">
        <v>1871</v>
      </c>
      <c r="H369" s="7">
        <v>12996925</v>
      </c>
      <c r="I369" s="7">
        <v>5</v>
      </c>
      <c r="J369" s="7" t="s">
        <v>1948</v>
      </c>
      <c r="K369" s="8">
        <v>13356000</v>
      </c>
      <c r="L369" s="7" t="s">
        <v>2022</v>
      </c>
      <c r="M369" s="7" t="s">
        <v>2107</v>
      </c>
      <c r="N369" s="7" t="s">
        <v>2127</v>
      </c>
      <c r="O369" s="7"/>
      <c r="P369" s="13" t="s">
        <v>3231</v>
      </c>
    </row>
    <row r="370" spans="1:16" ht="30" x14ac:dyDescent="0.25">
      <c r="A370" s="7" t="s">
        <v>1883</v>
      </c>
      <c r="B370" s="7" t="str">
        <f>"0868"</f>
        <v>0868</v>
      </c>
      <c r="C370" s="7">
        <v>2020</v>
      </c>
      <c r="D370" s="7" t="s">
        <v>1867</v>
      </c>
      <c r="E370" s="7" t="s">
        <v>1875</v>
      </c>
      <c r="F370" s="7" t="s">
        <v>1947</v>
      </c>
      <c r="G370" s="7" t="s">
        <v>1871</v>
      </c>
      <c r="H370" s="7">
        <v>12974884</v>
      </c>
      <c r="I370" s="7">
        <v>7</v>
      </c>
      <c r="J370" s="7" t="s">
        <v>1954</v>
      </c>
      <c r="K370" s="8">
        <v>13356000</v>
      </c>
      <c r="L370" s="7" t="s">
        <v>2022</v>
      </c>
      <c r="M370" s="7" t="s">
        <v>2306</v>
      </c>
      <c r="N370" s="7" t="s">
        <v>2127</v>
      </c>
      <c r="O370" s="7"/>
      <c r="P370" s="13" t="s">
        <v>3232</v>
      </c>
    </row>
    <row r="371" spans="1:16" ht="30" x14ac:dyDescent="0.25">
      <c r="A371" s="7" t="s">
        <v>1883</v>
      </c>
      <c r="B371" s="7" t="str">
        <f>"0869"</f>
        <v>0869</v>
      </c>
      <c r="C371" s="7">
        <v>2020</v>
      </c>
      <c r="D371" s="7" t="s">
        <v>1867</v>
      </c>
      <c r="E371" s="7" t="s">
        <v>1875</v>
      </c>
      <c r="F371" s="7" t="s">
        <v>3233</v>
      </c>
      <c r="G371" s="7" t="s">
        <v>1871</v>
      </c>
      <c r="H371" s="7">
        <v>98382095</v>
      </c>
      <c r="I371" s="7">
        <v>4</v>
      </c>
      <c r="J371" s="7" t="s">
        <v>1955</v>
      </c>
      <c r="K371" s="8">
        <v>14098000</v>
      </c>
      <c r="L371" s="7" t="s">
        <v>2022</v>
      </c>
      <c r="M371" s="7" t="s">
        <v>2421</v>
      </c>
      <c r="N371" s="7" t="s">
        <v>2127</v>
      </c>
      <c r="O371" s="7"/>
      <c r="P371" s="13" t="s">
        <v>3234</v>
      </c>
    </row>
    <row r="372" spans="1:16" ht="30" x14ac:dyDescent="0.25">
      <c r="A372" s="7" t="s">
        <v>1883</v>
      </c>
      <c r="B372" s="7" t="str">
        <f>"0896"</f>
        <v>0896</v>
      </c>
      <c r="C372" s="7">
        <v>2020</v>
      </c>
      <c r="D372" s="7" t="s">
        <v>1867</v>
      </c>
      <c r="E372" s="7" t="s">
        <v>1875</v>
      </c>
      <c r="F372" s="7" t="s">
        <v>3274</v>
      </c>
      <c r="G372" s="7" t="s">
        <v>1871</v>
      </c>
      <c r="H372" s="7">
        <v>1085310317</v>
      </c>
      <c r="I372" s="7">
        <v>1</v>
      </c>
      <c r="J372" s="7" t="s">
        <v>3275</v>
      </c>
      <c r="K372" s="8">
        <v>9646000</v>
      </c>
      <c r="L372" s="7" t="s">
        <v>2016</v>
      </c>
      <c r="M372" s="7" t="s">
        <v>2318</v>
      </c>
      <c r="N372" s="7" t="s">
        <v>2110</v>
      </c>
      <c r="O372" s="7"/>
      <c r="P372" s="13" t="s">
        <v>3276</v>
      </c>
    </row>
    <row r="373" spans="1:16" ht="30" x14ac:dyDescent="0.25">
      <c r="A373" s="7" t="s">
        <v>1883</v>
      </c>
      <c r="B373" s="7" t="str">
        <f>"0900"</f>
        <v>0900</v>
      </c>
      <c r="C373" s="7">
        <v>2020</v>
      </c>
      <c r="D373" s="7" t="s">
        <v>1867</v>
      </c>
      <c r="E373" s="7" t="s">
        <v>1868</v>
      </c>
      <c r="F373" s="7" t="s">
        <v>3285</v>
      </c>
      <c r="G373" s="7" t="s">
        <v>1871</v>
      </c>
      <c r="H373" s="7">
        <v>30728663</v>
      </c>
      <c r="I373" s="7">
        <v>8</v>
      </c>
      <c r="J373" s="7" t="s">
        <v>3286</v>
      </c>
      <c r="K373" s="8">
        <v>24076416</v>
      </c>
      <c r="L373" s="7" t="s">
        <v>2016</v>
      </c>
      <c r="M373" s="7" t="s">
        <v>2284</v>
      </c>
      <c r="N373" s="7" t="s">
        <v>2110</v>
      </c>
      <c r="O373" s="7"/>
      <c r="P373" s="13" t="s">
        <v>3287</v>
      </c>
    </row>
    <row r="374" spans="1:16" ht="30" x14ac:dyDescent="0.25">
      <c r="A374" s="7" t="s">
        <v>1883</v>
      </c>
      <c r="B374" s="7" t="str">
        <f>"0902"</f>
        <v>0902</v>
      </c>
      <c r="C374" s="7">
        <v>2020</v>
      </c>
      <c r="D374" s="7" t="s">
        <v>1867</v>
      </c>
      <c r="E374" s="7" t="s">
        <v>1875</v>
      </c>
      <c r="F374" s="7" t="s">
        <v>3291</v>
      </c>
      <c r="G374" s="7" t="s">
        <v>1871</v>
      </c>
      <c r="H374" s="7">
        <v>98326539</v>
      </c>
      <c r="I374" s="7">
        <v>4</v>
      </c>
      <c r="J374" s="7" t="s">
        <v>3292</v>
      </c>
      <c r="K374" s="8">
        <v>13356000</v>
      </c>
      <c r="L374" s="7" t="s">
        <v>2016</v>
      </c>
      <c r="M374" s="7" t="s">
        <v>2246</v>
      </c>
      <c r="N374" s="7" t="s">
        <v>2110</v>
      </c>
      <c r="O374" s="7"/>
      <c r="P374" s="13" t="s">
        <v>3293</v>
      </c>
    </row>
    <row r="375" spans="1:16" ht="30" x14ac:dyDescent="0.25">
      <c r="A375" s="7" t="s">
        <v>1883</v>
      </c>
      <c r="B375" s="7" t="str">
        <f>"0903"</f>
        <v>0903</v>
      </c>
      <c r="C375" s="7">
        <v>2020</v>
      </c>
      <c r="D375" s="7" t="s">
        <v>1867</v>
      </c>
      <c r="E375" s="7" t="s">
        <v>1875</v>
      </c>
      <c r="F375" s="7" t="s">
        <v>3294</v>
      </c>
      <c r="G375" s="7" t="s">
        <v>1871</v>
      </c>
      <c r="H375" s="7">
        <v>13070994</v>
      </c>
      <c r="I375" s="7">
        <v>2</v>
      </c>
      <c r="J375" s="7" t="s">
        <v>3295</v>
      </c>
      <c r="K375" s="8">
        <v>13356000</v>
      </c>
      <c r="L375" s="7" t="s">
        <v>2016</v>
      </c>
      <c r="M375" s="7" t="s">
        <v>2331</v>
      </c>
      <c r="N375" s="7" t="s">
        <v>2110</v>
      </c>
      <c r="O375" s="7"/>
      <c r="P375" s="13" t="s">
        <v>3296</v>
      </c>
    </row>
    <row r="376" spans="1:16" ht="30" x14ac:dyDescent="0.25">
      <c r="A376" s="7" t="s">
        <v>1883</v>
      </c>
      <c r="B376" s="7" t="str">
        <f>"0905"</f>
        <v>0905</v>
      </c>
      <c r="C376" s="7">
        <v>2020</v>
      </c>
      <c r="D376" s="7" t="s">
        <v>1867</v>
      </c>
      <c r="E376" s="7" t="s">
        <v>1875</v>
      </c>
      <c r="F376" s="7" t="s">
        <v>2735</v>
      </c>
      <c r="G376" s="7" t="s">
        <v>1871</v>
      </c>
      <c r="H376" s="7">
        <v>98391909</v>
      </c>
      <c r="I376" s="7">
        <v>2</v>
      </c>
      <c r="J376" s="7" t="s">
        <v>3300</v>
      </c>
      <c r="K376" s="8">
        <v>13356000</v>
      </c>
      <c r="L376" s="7" t="s">
        <v>2016</v>
      </c>
      <c r="M376" s="7" t="s">
        <v>2113</v>
      </c>
      <c r="N376" s="7" t="s">
        <v>2110</v>
      </c>
      <c r="O376" s="7"/>
      <c r="P376" s="13" t="s">
        <v>3301</v>
      </c>
    </row>
    <row r="377" spans="1:16" ht="30" x14ac:dyDescent="0.25">
      <c r="A377" s="7" t="s">
        <v>1883</v>
      </c>
      <c r="B377" s="7" t="str">
        <f>"0906"</f>
        <v>0906</v>
      </c>
      <c r="C377" s="7">
        <v>2020</v>
      </c>
      <c r="D377" s="7" t="s">
        <v>1867</v>
      </c>
      <c r="E377" s="7" t="s">
        <v>1875</v>
      </c>
      <c r="F377" s="7" t="s">
        <v>2713</v>
      </c>
      <c r="G377" s="7" t="s">
        <v>1871</v>
      </c>
      <c r="H377" s="7">
        <v>37083139</v>
      </c>
      <c r="I377" s="7">
        <v>5</v>
      </c>
      <c r="J377" s="7" t="s">
        <v>1945</v>
      </c>
      <c r="K377" s="8">
        <v>13356000</v>
      </c>
      <c r="L377" s="7" t="s">
        <v>2016</v>
      </c>
      <c r="M377" s="7" t="s">
        <v>2717</v>
      </c>
      <c r="N377" s="7" t="s">
        <v>2110</v>
      </c>
      <c r="O377" s="7"/>
      <c r="P377" s="13" t="s">
        <v>3302</v>
      </c>
    </row>
    <row r="378" spans="1:16" ht="30" x14ac:dyDescent="0.25">
      <c r="A378" s="7" t="s">
        <v>1883</v>
      </c>
      <c r="B378" s="7" t="str">
        <f>"0895"</f>
        <v>0895</v>
      </c>
      <c r="C378" s="7">
        <v>2020</v>
      </c>
      <c r="D378" s="7" t="s">
        <v>1867</v>
      </c>
      <c r="E378" s="7" t="s">
        <v>1875</v>
      </c>
      <c r="F378" s="7" t="s">
        <v>3270</v>
      </c>
      <c r="G378" s="7" t="s">
        <v>1871</v>
      </c>
      <c r="H378" s="7">
        <v>87453930</v>
      </c>
      <c r="I378" s="7">
        <v>5</v>
      </c>
      <c r="J378" s="7" t="s">
        <v>3271</v>
      </c>
      <c r="K378" s="8">
        <v>16324000</v>
      </c>
      <c r="L378" s="7" t="s">
        <v>2016</v>
      </c>
      <c r="M378" s="7" t="s">
        <v>2204</v>
      </c>
      <c r="N378" s="7" t="s">
        <v>3272</v>
      </c>
      <c r="O378" s="7"/>
      <c r="P378" s="13" t="s">
        <v>3273</v>
      </c>
    </row>
    <row r="379" spans="1:16" ht="30" x14ac:dyDescent="0.25">
      <c r="A379" s="7" t="s">
        <v>1883</v>
      </c>
      <c r="B379" s="7" t="str">
        <f>"0901"</f>
        <v>0901</v>
      </c>
      <c r="C379" s="7">
        <v>2020</v>
      </c>
      <c r="D379" s="7" t="s">
        <v>1867</v>
      </c>
      <c r="E379" s="7" t="s">
        <v>1875</v>
      </c>
      <c r="F379" s="7" t="s">
        <v>3288</v>
      </c>
      <c r="G379" s="7" t="s">
        <v>1871</v>
      </c>
      <c r="H379" s="7">
        <v>1085290701</v>
      </c>
      <c r="I379" s="7">
        <v>8</v>
      </c>
      <c r="J379" s="7" t="s">
        <v>3289</v>
      </c>
      <c r="K379" s="8">
        <v>13356000</v>
      </c>
      <c r="L379" s="7" t="s">
        <v>2016</v>
      </c>
      <c r="M379" s="7" t="s">
        <v>2321</v>
      </c>
      <c r="N379" s="7" t="s">
        <v>3272</v>
      </c>
      <c r="O379" s="7"/>
      <c r="P379" s="13" t="s">
        <v>3290</v>
      </c>
    </row>
    <row r="380" spans="1:16" ht="30" x14ac:dyDescent="0.25">
      <c r="A380" s="7" t="s">
        <v>1883</v>
      </c>
      <c r="B380" s="7" t="str">
        <f>"0904"</f>
        <v>0904</v>
      </c>
      <c r="C380" s="7">
        <v>2020</v>
      </c>
      <c r="D380" s="7" t="s">
        <v>1867</v>
      </c>
      <c r="E380" s="7" t="s">
        <v>1875</v>
      </c>
      <c r="F380" s="7" t="s">
        <v>2710</v>
      </c>
      <c r="G380" s="7" t="s">
        <v>1871</v>
      </c>
      <c r="H380" s="7">
        <v>13067089</v>
      </c>
      <c r="I380" s="7">
        <v>3</v>
      </c>
      <c r="J380" s="7" t="s">
        <v>3297</v>
      </c>
      <c r="K380" s="8">
        <v>13356000</v>
      </c>
      <c r="L380" s="7" t="s">
        <v>2016</v>
      </c>
      <c r="M380" s="7" t="s">
        <v>3298</v>
      </c>
      <c r="N380" s="7" t="s">
        <v>3272</v>
      </c>
      <c r="O380" s="7"/>
      <c r="P380" s="13" t="s">
        <v>3299</v>
      </c>
    </row>
    <row r="381" spans="1:16" ht="30" x14ac:dyDescent="0.25">
      <c r="A381" s="7" t="s">
        <v>1883</v>
      </c>
      <c r="B381" s="7" t="str">
        <f>"0264"</f>
        <v>0264</v>
      </c>
      <c r="C381" s="7">
        <v>2020</v>
      </c>
      <c r="D381" s="7" t="s">
        <v>1867</v>
      </c>
      <c r="E381" s="7" t="s">
        <v>1868</v>
      </c>
      <c r="F381" s="7" t="s">
        <v>2168</v>
      </c>
      <c r="G381" s="7" t="s">
        <v>1871</v>
      </c>
      <c r="H381" s="7">
        <v>59314314</v>
      </c>
      <c r="I381" s="7">
        <v>0</v>
      </c>
      <c r="J381" s="7" t="s">
        <v>1941</v>
      </c>
      <c r="K381" s="8">
        <v>27515904</v>
      </c>
      <c r="L381" s="7" t="s">
        <v>1898</v>
      </c>
      <c r="M381" s="7" t="s">
        <v>2153</v>
      </c>
      <c r="N381" s="7" t="s">
        <v>2167</v>
      </c>
      <c r="O381" s="7"/>
      <c r="P381" s="13" t="s">
        <v>2169</v>
      </c>
    </row>
    <row r="382" spans="1:16" ht="30" x14ac:dyDescent="0.25">
      <c r="A382" s="7" t="s">
        <v>1883</v>
      </c>
      <c r="B382" s="7" t="str">
        <f>"0550"</f>
        <v>0550</v>
      </c>
      <c r="C382" s="7">
        <v>2020</v>
      </c>
      <c r="D382" s="7" t="s">
        <v>1867</v>
      </c>
      <c r="E382" s="7" t="s">
        <v>1875</v>
      </c>
      <c r="F382" s="7" t="s">
        <v>2716</v>
      </c>
      <c r="G382" s="7" t="s">
        <v>1871</v>
      </c>
      <c r="H382" s="7">
        <v>12985087</v>
      </c>
      <c r="I382" s="7">
        <v>0</v>
      </c>
      <c r="J382" s="7" t="s">
        <v>1950</v>
      </c>
      <c r="K382" s="8">
        <v>15264000</v>
      </c>
      <c r="L382" s="7" t="s">
        <v>1898</v>
      </c>
      <c r="M382" s="7" t="s">
        <v>2717</v>
      </c>
      <c r="N382" s="7" t="s">
        <v>2167</v>
      </c>
      <c r="O382" s="7"/>
      <c r="P382" s="13" t="s">
        <v>2718</v>
      </c>
    </row>
    <row r="383" spans="1:16" ht="30" x14ac:dyDescent="0.25">
      <c r="A383" s="7" t="s">
        <v>1883</v>
      </c>
      <c r="B383" s="7" t="str">
        <f>"0555"</f>
        <v>0555</v>
      </c>
      <c r="C383" s="7">
        <v>2020</v>
      </c>
      <c r="D383" s="7" t="s">
        <v>1867</v>
      </c>
      <c r="E383" s="7" t="s">
        <v>1875</v>
      </c>
      <c r="F383" s="7" t="s">
        <v>2726</v>
      </c>
      <c r="G383" s="7" t="s">
        <v>1871</v>
      </c>
      <c r="H383" s="7">
        <v>98396573</v>
      </c>
      <c r="I383" s="7">
        <v>4</v>
      </c>
      <c r="J383" s="7" t="s">
        <v>2727</v>
      </c>
      <c r="K383" s="8">
        <v>15264000</v>
      </c>
      <c r="L383" s="7" t="s">
        <v>1898</v>
      </c>
      <c r="M383" s="7" t="s">
        <v>2318</v>
      </c>
      <c r="N383" s="7" t="s">
        <v>2167</v>
      </c>
      <c r="O383" s="7"/>
      <c r="P383" s="13" t="s">
        <v>2728</v>
      </c>
    </row>
    <row r="384" spans="1:16" ht="30" x14ac:dyDescent="0.25">
      <c r="A384" s="7" t="s">
        <v>1883</v>
      </c>
      <c r="B384" s="7" t="str">
        <f>"0560"</f>
        <v>0560</v>
      </c>
      <c r="C384" s="7">
        <v>2020</v>
      </c>
      <c r="D384" s="7" t="s">
        <v>1867</v>
      </c>
      <c r="E384" s="7" t="s">
        <v>1875</v>
      </c>
      <c r="F384" s="7" t="s">
        <v>2735</v>
      </c>
      <c r="G384" s="7" t="s">
        <v>1871</v>
      </c>
      <c r="H384" s="7">
        <v>1085249953</v>
      </c>
      <c r="I384" s="7">
        <v>4</v>
      </c>
      <c r="J384" s="7" t="s">
        <v>1951</v>
      </c>
      <c r="K384" s="8">
        <v>15264000</v>
      </c>
      <c r="L384" s="7" t="s">
        <v>1898</v>
      </c>
      <c r="M384" s="7" t="s">
        <v>2421</v>
      </c>
      <c r="N384" s="7" t="s">
        <v>2167</v>
      </c>
      <c r="O384" s="7"/>
      <c r="P384" s="13" t="s">
        <v>2738</v>
      </c>
    </row>
    <row r="385" spans="1:16" ht="30" x14ac:dyDescent="0.25">
      <c r="A385" s="7" t="s">
        <v>1883</v>
      </c>
      <c r="B385" s="7" t="str">
        <f>"0562"</f>
        <v>0562</v>
      </c>
      <c r="C385" s="7">
        <v>2020</v>
      </c>
      <c r="D385" s="7" t="s">
        <v>1867</v>
      </c>
      <c r="E385" s="7" t="s">
        <v>1875</v>
      </c>
      <c r="F385" s="7" t="s">
        <v>2740</v>
      </c>
      <c r="G385" s="7" t="s">
        <v>1871</v>
      </c>
      <c r="H385" s="7">
        <v>59831095</v>
      </c>
      <c r="I385" s="7">
        <v>1</v>
      </c>
      <c r="J385" s="7" t="s">
        <v>2741</v>
      </c>
      <c r="K385" s="8">
        <v>15264000</v>
      </c>
      <c r="L385" s="7" t="s">
        <v>1898</v>
      </c>
      <c r="M385" s="7" t="s">
        <v>2350</v>
      </c>
      <c r="N385" s="7" t="s">
        <v>2167</v>
      </c>
      <c r="O385" s="7"/>
      <c r="P385" s="13" t="s">
        <v>2742</v>
      </c>
    </row>
    <row r="386" spans="1:16" ht="30" x14ac:dyDescent="0.25">
      <c r="A386" s="7" t="s">
        <v>1883</v>
      </c>
      <c r="B386" s="7" t="str">
        <f>"0568"</f>
        <v>0568</v>
      </c>
      <c r="C386" s="7">
        <v>2020</v>
      </c>
      <c r="D386" s="7" t="s">
        <v>1867</v>
      </c>
      <c r="E386" s="7" t="s">
        <v>1868</v>
      </c>
      <c r="F386" s="7" t="s">
        <v>2750</v>
      </c>
      <c r="G386" s="7" t="s">
        <v>1871</v>
      </c>
      <c r="H386" s="7">
        <v>1085273777</v>
      </c>
      <c r="I386" s="7">
        <v>5</v>
      </c>
      <c r="J386" s="7" t="s">
        <v>2751</v>
      </c>
      <c r="K386" s="8">
        <v>27515904</v>
      </c>
      <c r="L386" s="7" t="s">
        <v>1898</v>
      </c>
      <c r="M386" s="7" t="s">
        <v>2171</v>
      </c>
      <c r="N386" s="7" t="s">
        <v>2167</v>
      </c>
      <c r="O386" s="7"/>
      <c r="P386" s="13" t="s">
        <v>2752</v>
      </c>
    </row>
    <row r="387" spans="1:16" ht="30" x14ac:dyDescent="0.25">
      <c r="A387" s="7" t="s">
        <v>1883</v>
      </c>
      <c r="B387" s="7" t="str">
        <f>"0571"</f>
        <v>0571</v>
      </c>
      <c r="C387" s="7">
        <v>2020</v>
      </c>
      <c r="D387" s="7" t="s">
        <v>1867</v>
      </c>
      <c r="E387" s="7" t="s">
        <v>1868</v>
      </c>
      <c r="F387" s="7" t="s">
        <v>2753</v>
      </c>
      <c r="G387" s="7" t="s">
        <v>1871</v>
      </c>
      <c r="H387" s="7">
        <v>1004131715</v>
      </c>
      <c r="I387" s="7">
        <v>5</v>
      </c>
      <c r="J387" s="7" t="s">
        <v>2754</v>
      </c>
      <c r="K387" s="8">
        <v>22048000</v>
      </c>
      <c r="L387" s="7" t="s">
        <v>1898</v>
      </c>
      <c r="M387" s="7" t="s">
        <v>2257</v>
      </c>
      <c r="N387" s="7" t="s">
        <v>2167</v>
      </c>
      <c r="O387" s="7"/>
      <c r="P387" s="13" t="s">
        <v>2755</v>
      </c>
    </row>
    <row r="388" spans="1:16" ht="30" x14ac:dyDescent="0.25">
      <c r="A388" s="7" t="s">
        <v>1883</v>
      </c>
      <c r="B388" s="7" t="str">
        <f>"0579"</f>
        <v>0579</v>
      </c>
      <c r="C388" s="7">
        <v>2020</v>
      </c>
      <c r="D388" s="7" t="s">
        <v>1867</v>
      </c>
      <c r="E388" s="7" t="s">
        <v>1875</v>
      </c>
      <c r="F388" s="7" t="s">
        <v>2768</v>
      </c>
      <c r="G388" s="7" t="s">
        <v>1871</v>
      </c>
      <c r="H388" s="7">
        <v>1085312299</v>
      </c>
      <c r="I388" s="7">
        <v>4</v>
      </c>
      <c r="J388" s="7" t="s">
        <v>2769</v>
      </c>
      <c r="K388" s="8">
        <v>21200000</v>
      </c>
      <c r="L388" s="7" t="s">
        <v>1898</v>
      </c>
      <c r="M388" s="7" t="s">
        <v>2173</v>
      </c>
      <c r="N388" s="7" t="s">
        <v>2167</v>
      </c>
      <c r="O388" s="7"/>
      <c r="P388" s="13" t="s">
        <v>2770</v>
      </c>
    </row>
    <row r="389" spans="1:16" ht="30" x14ac:dyDescent="0.25">
      <c r="A389" s="7" t="s">
        <v>1883</v>
      </c>
      <c r="B389" s="7" t="str">
        <f>"0582"</f>
        <v>0582</v>
      </c>
      <c r="C389" s="7">
        <v>2020</v>
      </c>
      <c r="D389" s="7" t="s">
        <v>1867</v>
      </c>
      <c r="E389" s="7" t="s">
        <v>1868</v>
      </c>
      <c r="F389" s="7" t="s">
        <v>2771</v>
      </c>
      <c r="G389" s="7" t="s">
        <v>1871</v>
      </c>
      <c r="H389" s="7">
        <v>1085255129</v>
      </c>
      <c r="I389" s="7">
        <v>6</v>
      </c>
      <c r="J389" s="7" t="s">
        <v>2772</v>
      </c>
      <c r="K389" s="8">
        <v>27515904</v>
      </c>
      <c r="L389" s="7" t="s">
        <v>1898</v>
      </c>
      <c r="M389" s="7" t="s">
        <v>2154</v>
      </c>
      <c r="N389" s="7" t="s">
        <v>2167</v>
      </c>
      <c r="O389" s="7"/>
      <c r="P389" s="13" t="s">
        <v>2773</v>
      </c>
    </row>
    <row r="390" spans="1:16" ht="30" x14ac:dyDescent="0.25">
      <c r="A390" s="7" t="s">
        <v>1883</v>
      </c>
      <c r="B390" s="7" t="str">
        <f>"0585"</f>
        <v>0585</v>
      </c>
      <c r="C390" s="7">
        <v>2020</v>
      </c>
      <c r="D390" s="7" t="s">
        <v>1867</v>
      </c>
      <c r="E390" s="7" t="s">
        <v>1868</v>
      </c>
      <c r="F390" s="7" t="s">
        <v>2777</v>
      </c>
      <c r="G390" s="7" t="s">
        <v>1871</v>
      </c>
      <c r="H390" s="7">
        <v>1010163224</v>
      </c>
      <c r="I390" s="7">
        <v>1</v>
      </c>
      <c r="J390" s="7" t="s">
        <v>2778</v>
      </c>
      <c r="K390" s="8">
        <v>27515904</v>
      </c>
      <c r="L390" s="7" t="s">
        <v>1898</v>
      </c>
      <c r="M390" s="7" t="s">
        <v>2154</v>
      </c>
      <c r="N390" s="7" t="s">
        <v>2167</v>
      </c>
      <c r="O390" s="7"/>
      <c r="P390" s="13" t="s">
        <v>2779</v>
      </c>
    </row>
    <row r="391" spans="1:16" ht="30" x14ac:dyDescent="0.25">
      <c r="A391" s="7" t="s">
        <v>1883</v>
      </c>
      <c r="B391" s="7" t="str">
        <f>"0586"</f>
        <v>0586</v>
      </c>
      <c r="C391" s="7">
        <v>2020</v>
      </c>
      <c r="D391" s="7" t="s">
        <v>1867</v>
      </c>
      <c r="E391" s="7" t="s">
        <v>1868</v>
      </c>
      <c r="F391" s="7" t="s">
        <v>2780</v>
      </c>
      <c r="G391" s="7" t="s">
        <v>1871</v>
      </c>
      <c r="H391" s="7">
        <v>36757912</v>
      </c>
      <c r="I391" s="7">
        <v>2</v>
      </c>
      <c r="J391" s="7" t="s">
        <v>2781</v>
      </c>
      <c r="K391" s="8">
        <v>27515904</v>
      </c>
      <c r="L391" s="7" t="s">
        <v>1898</v>
      </c>
      <c r="M391" s="7" t="s">
        <v>2152</v>
      </c>
      <c r="N391" s="7" t="s">
        <v>2167</v>
      </c>
      <c r="O391" s="7"/>
      <c r="P391" s="13" t="s">
        <v>2782</v>
      </c>
    </row>
    <row r="392" spans="1:16" ht="30" x14ac:dyDescent="0.25">
      <c r="A392" s="7" t="s">
        <v>1883</v>
      </c>
      <c r="B392" s="7" t="str">
        <f>"0588"</f>
        <v>0588</v>
      </c>
      <c r="C392" s="7">
        <v>2020</v>
      </c>
      <c r="D392" s="7" t="s">
        <v>1867</v>
      </c>
      <c r="E392" s="7" t="s">
        <v>1868</v>
      </c>
      <c r="F392" s="7" t="s">
        <v>2783</v>
      </c>
      <c r="G392" s="7" t="s">
        <v>1871</v>
      </c>
      <c r="H392" s="7">
        <v>1087127474</v>
      </c>
      <c r="I392" s="7">
        <v>1</v>
      </c>
      <c r="J392" s="7" t="s">
        <v>2784</v>
      </c>
      <c r="K392" s="8">
        <v>27515904</v>
      </c>
      <c r="L392" s="7" t="s">
        <v>1898</v>
      </c>
      <c r="M392" s="7" t="s">
        <v>2154</v>
      </c>
      <c r="N392" s="7" t="s">
        <v>2167</v>
      </c>
      <c r="O392" s="7"/>
      <c r="P392" s="13" t="s">
        <v>2785</v>
      </c>
    </row>
    <row r="393" spans="1:16" ht="30" x14ac:dyDescent="0.25">
      <c r="A393" s="7" t="s">
        <v>1883</v>
      </c>
      <c r="B393" s="7" t="str">
        <f>"0690"</f>
        <v>0690</v>
      </c>
      <c r="C393" s="7">
        <v>2020</v>
      </c>
      <c r="D393" s="7" t="s">
        <v>1867</v>
      </c>
      <c r="E393" s="7" t="s">
        <v>1868</v>
      </c>
      <c r="F393" s="7" t="s">
        <v>2929</v>
      </c>
      <c r="G393" s="7" t="s">
        <v>1871</v>
      </c>
      <c r="H393" s="7">
        <v>1085288747</v>
      </c>
      <c r="I393" s="7"/>
      <c r="J393" s="7" t="s">
        <v>2930</v>
      </c>
      <c r="K393" s="8">
        <v>27515904</v>
      </c>
      <c r="L393" s="7" t="s">
        <v>1997</v>
      </c>
      <c r="M393" s="7" t="s">
        <v>2331</v>
      </c>
      <c r="N393" s="7" t="s">
        <v>2167</v>
      </c>
      <c r="O393" s="7"/>
      <c r="P393" s="13" t="s">
        <v>2931</v>
      </c>
    </row>
    <row r="394" spans="1:16" ht="30" x14ac:dyDescent="0.25">
      <c r="A394" s="7" t="s">
        <v>1883</v>
      </c>
      <c r="B394" s="7" t="str">
        <f>"0696"</f>
        <v>0696</v>
      </c>
      <c r="C394" s="7">
        <v>2020</v>
      </c>
      <c r="D394" s="7" t="s">
        <v>1867</v>
      </c>
      <c r="E394" s="7" t="s">
        <v>1868</v>
      </c>
      <c r="F394" s="7" t="s">
        <v>2932</v>
      </c>
      <c r="G394" s="7" t="s">
        <v>1871</v>
      </c>
      <c r="H394" s="7">
        <v>59312346</v>
      </c>
      <c r="I394" s="7">
        <v>7</v>
      </c>
      <c r="J394" s="7" t="s">
        <v>1939</v>
      </c>
      <c r="K394" s="8">
        <v>27515904</v>
      </c>
      <c r="L394" s="7" t="s">
        <v>1997</v>
      </c>
      <c r="M394" s="7" t="s">
        <v>2171</v>
      </c>
      <c r="N394" s="7" t="s">
        <v>2167</v>
      </c>
      <c r="O394" s="7"/>
      <c r="P394" s="13" t="s">
        <v>2933</v>
      </c>
    </row>
    <row r="395" spans="1:16" ht="30" x14ac:dyDescent="0.25">
      <c r="A395" s="7" t="s">
        <v>1883</v>
      </c>
      <c r="B395" s="7" t="str">
        <f>"0714"</f>
        <v>0714</v>
      </c>
      <c r="C395" s="7">
        <v>2020</v>
      </c>
      <c r="D395" s="7" t="s">
        <v>1867</v>
      </c>
      <c r="E395" s="7" t="s">
        <v>1868</v>
      </c>
      <c r="F395" s="7" t="s">
        <v>2960</v>
      </c>
      <c r="G395" s="7" t="s">
        <v>1871</v>
      </c>
      <c r="H395" s="7">
        <v>1085291006</v>
      </c>
      <c r="I395" s="7">
        <v>1</v>
      </c>
      <c r="J395" s="7" t="s">
        <v>2961</v>
      </c>
      <c r="K395" s="8">
        <v>27515904</v>
      </c>
      <c r="L395" s="7" t="s">
        <v>1997</v>
      </c>
      <c r="M395" s="7" t="s">
        <v>2257</v>
      </c>
      <c r="N395" s="7" t="s">
        <v>2167</v>
      </c>
      <c r="O395" s="7"/>
      <c r="P395" s="13" t="s">
        <v>2962</v>
      </c>
    </row>
    <row r="396" spans="1:16" ht="30" x14ac:dyDescent="0.25">
      <c r="A396" s="7" t="s">
        <v>1883</v>
      </c>
      <c r="B396" s="7" t="str">
        <f>"0785"</f>
        <v>0785</v>
      </c>
      <c r="C396" s="7">
        <v>2020</v>
      </c>
      <c r="D396" s="7" t="s">
        <v>1867</v>
      </c>
      <c r="E396" s="7" t="s">
        <v>1868</v>
      </c>
      <c r="F396" s="7" t="s">
        <v>3085</v>
      </c>
      <c r="G396" s="7" t="s">
        <v>1871</v>
      </c>
      <c r="H396" s="7">
        <v>37120842</v>
      </c>
      <c r="I396" s="7">
        <v>4</v>
      </c>
      <c r="J396" s="7" t="s">
        <v>2033</v>
      </c>
      <c r="K396" s="8">
        <v>26484058</v>
      </c>
      <c r="L396" s="7" t="s">
        <v>1982</v>
      </c>
      <c r="M396" s="7" t="s">
        <v>2235</v>
      </c>
      <c r="N396" s="7" t="s">
        <v>2167</v>
      </c>
      <c r="O396" s="7"/>
      <c r="P396" s="13" t="s">
        <v>3086</v>
      </c>
    </row>
    <row r="397" spans="1:16" ht="30" x14ac:dyDescent="0.25">
      <c r="A397" s="7" t="s">
        <v>1883</v>
      </c>
      <c r="B397" s="7" t="str">
        <f>"0786"</f>
        <v>0786</v>
      </c>
      <c r="C397" s="7">
        <v>2020</v>
      </c>
      <c r="D397" s="7" t="s">
        <v>1867</v>
      </c>
      <c r="E397" s="7" t="s">
        <v>1868</v>
      </c>
      <c r="F397" s="7" t="s">
        <v>3087</v>
      </c>
      <c r="G397" s="7" t="s">
        <v>1871</v>
      </c>
      <c r="H397" s="7">
        <v>1085258062</v>
      </c>
      <c r="I397" s="7">
        <v>5</v>
      </c>
      <c r="J397" s="7" t="s">
        <v>3088</v>
      </c>
      <c r="K397" s="8">
        <v>26369408</v>
      </c>
      <c r="L397" s="7" t="s">
        <v>1982</v>
      </c>
      <c r="M397" s="7" t="s">
        <v>2235</v>
      </c>
      <c r="N397" s="7" t="s">
        <v>2167</v>
      </c>
      <c r="O397" s="7"/>
      <c r="P397" s="13" t="s">
        <v>3089</v>
      </c>
    </row>
    <row r="398" spans="1:16" ht="30" x14ac:dyDescent="0.25">
      <c r="A398" s="7" t="s">
        <v>1883</v>
      </c>
      <c r="B398" s="7" t="str">
        <f>"0788"</f>
        <v>0788</v>
      </c>
      <c r="C398" s="7">
        <v>2020</v>
      </c>
      <c r="D398" s="7" t="s">
        <v>1867</v>
      </c>
      <c r="E398" s="7" t="s">
        <v>1875</v>
      </c>
      <c r="F398" s="7" t="s">
        <v>3090</v>
      </c>
      <c r="G398" s="7" t="s">
        <v>1871</v>
      </c>
      <c r="H398" s="7">
        <v>13069440</v>
      </c>
      <c r="I398" s="7">
        <v>2</v>
      </c>
      <c r="J398" s="7" t="s">
        <v>1953</v>
      </c>
      <c r="K398" s="8">
        <v>14691600</v>
      </c>
      <c r="L398" s="7" t="s">
        <v>1982</v>
      </c>
      <c r="M398" s="7" t="s">
        <v>2439</v>
      </c>
      <c r="N398" s="7" t="s">
        <v>2167</v>
      </c>
      <c r="O398" s="7"/>
      <c r="P398" s="13" t="s">
        <v>3091</v>
      </c>
    </row>
    <row r="399" spans="1:16" ht="30" x14ac:dyDescent="0.25">
      <c r="A399" s="7" t="s">
        <v>1883</v>
      </c>
      <c r="B399" s="7" t="str">
        <f>"0790"</f>
        <v>0790</v>
      </c>
      <c r="C399" s="7">
        <v>2020</v>
      </c>
      <c r="D399" s="7" t="s">
        <v>1867</v>
      </c>
      <c r="E399" s="7" t="s">
        <v>1875</v>
      </c>
      <c r="F399" s="7" t="s">
        <v>3095</v>
      </c>
      <c r="G399" s="7" t="s">
        <v>1871</v>
      </c>
      <c r="H399" s="7">
        <v>1085296073</v>
      </c>
      <c r="I399" s="7">
        <v>8</v>
      </c>
      <c r="J399" s="7" t="s">
        <v>3096</v>
      </c>
      <c r="K399" s="8">
        <v>20405000</v>
      </c>
      <c r="L399" s="7" t="s">
        <v>1982</v>
      </c>
      <c r="M399" s="7" t="s">
        <v>2421</v>
      </c>
      <c r="N399" s="7" t="s">
        <v>2167</v>
      </c>
      <c r="O399" s="7"/>
      <c r="P399" s="13" t="s">
        <v>3097</v>
      </c>
    </row>
    <row r="400" spans="1:16" ht="30" x14ac:dyDescent="0.25">
      <c r="A400" s="7" t="s">
        <v>1883</v>
      </c>
      <c r="B400" s="7" t="str">
        <f>"0791"</f>
        <v>0791</v>
      </c>
      <c r="C400" s="7">
        <v>2020</v>
      </c>
      <c r="D400" s="7" t="s">
        <v>1867</v>
      </c>
      <c r="E400" s="7" t="s">
        <v>1875</v>
      </c>
      <c r="F400" s="7" t="s">
        <v>3098</v>
      </c>
      <c r="G400" s="7" t="s">
        <v>1871</v>
      </c>
      <c r="H400" s="7">
        <v>87943424</v>
      </c>
      <c r="I400" s="7">
        <v>2</v>
      </c>
      <c r="J400" s="7" t="s">
        <v>3099</v>
      </c>
      <c r="K400" s="8">
        <v>14691000</v>
      </c>
      <c r="L400" s="7" t="s">
        <v>1982</v>
      </c>
      <c r="M400" s="7" t="s">
        <v>2104</v>
      </c>
      <c r="N400" s="7" t="s">
        <v>2167</v>
      </c>
      <c r="O400" s="7"/>
      <c r="P400" s="13" t="s">
        <v>3100</v>
      </c>
    </row>
    <row r="401" spans="1:16" ht="30" x14ac:dyDescent="0.25">
      <c r="A401" s="7" t="s">
        <v>1883</v>
      </c>
      <c r="B401" s="7" t="str">
        <f>"0792"</f>
        <v>0792</v>
      </c>
      <c r="C401" s="7">
        <v>2020</v>
      </c>
      <c r="D401" s="7" t="s">
        <v>1867</v>
      </c>
      <c r="E401" s="7" t="s">
        <v>1875</v>
      </c>
      <c r="F401" s="7" t="s">
        <v>3101</v>
      </c>
      <c r="G401" s="7" t="s">
        <v>1871</v>
      </c>
      <c r="H401" s="7">
        <v>1089000493</v>
      </c>
      <c r="I401" s="7">
        <v>2</v>
      </c>
      <c r="J401" s="7" t="s">
        <v>1946</v>
      </c>
      <c r="K401" s="8">
        <v>14691600</v>
      </c>
      <c r="L401" s="7" t="s">
        <v>1982</v>
      </c>
      <c r="M401" s="7" t="s">
        <v>2439</v>
      </c>
      <c r="N401" s="7" t="s">
        <v>2167</v>
      </c>
      <c r="O401" s="7"/>
      <c r="P401" s="13" t="s">
        <v>3102</v>
      </c>
    </row>
    <row r="402" spans="1:16" ht="30" x14ac:dyDescent="0.25">
      <c r="A402" s="7" t="s">
        <v>1883</v>
      </c>
      <c r="B402" s="7" t="str">
        <f>"0796"</f>
        <v>0796</v>
      </c>
      <c r="C402" s="7">
        <v>2020</v>
      </c>
      <c r="D402" s="7" t="s">
        <v>1867</v>
      </c>
      <c r="E402" s="7" t="s">
        <v>1868</v>
      </c>
      <c r="F402" s="7" t="s">
        <v>3107</v>
      </c>
      <c r="G402" s="7" t="s">
        <v>1871</v>
      </c>
      <c r="H402" s="7">
        <v>1085255070</v>
      </c>
      <c r="I402" s="7">
        <v>0</v>
      </c>
      <c r="J402" s="7" t="s">
        <v>1998</v>
      </c>
      <c r="K402" s="8">
        <v>26484058</v>
      </c>
      <c r="L402" s="7" t="s">
        <v>1982</v>
      </c>
      <c r="M402" s="7" t="s">
        <v>2153</v>
      </c>
      <c r="N402" s="7" t="s">
        <v>2167</v>
      </c>
      <c r="O402" s="7"/>
      <c r="P402" s="13" t="s">
        <v>3108</v>
      </c>
    </row>
    <row r="403" spans="1:16" ht="30" x14ac:dyDescent="0.25">
      <c r="A403" s="7" t="s">
        <v>1883</v>
      </c>
      <c r="B403" s="7" t="str">
        <f>"0819"</f>
        <v>0819</v>
      </c>
      <c r="C403" s="7">
        <v>2020</v>
      </c>
      <c r="D403" s="7" t="s">
        <v>1867</v>
      </c>
      <c r="E403" s="7" t="s">
        <v>1868</v>
      </c>
      <c r="F403" s="7" t="s">
        <v>3121</v>
      </c>
      <c r="G403" s="7" t="s">
        <v>1871</v>
      </c>
      <c r="H403" s="7">
        <v>12753810</v>
      </c>
      <c r="I403" s="7">
        <v>4</v>
      </c>
      <c r="J403" s="7" t="s">
        <v>3122</v>
      </c>
      <c r="K403" s="8">
        <v>26484058</v>
      </c>
      <c r="L403" s="7" t="s">
        <v>2037</v>
      </c>
      <c r="M403" s="7" t="s">
        <v>2239</v>
      </c>
      <c r="N403" s="7" t="s">
        <v>2167</v>
      </c>
      <c r="O403" s="7"/>
      <c r="P403" s="13" t="s">
        <v>3123</v>
      </c>
    </row>
    <row r="404" spans="1:16" ht="30" x14ac:dyDescent="0.25">
      <c r="A404" s="7" t="s">
        <v>1883</v>
      </c>
      <c r="B404" s="7" t="str">
        <f>"0820"</f>
        <v>0820</v>
      </c>
      <c r="C404" s="7">
        <v>2020</v>
      </c>
      <c r="D404" s="7" t="s">
        <v>1867</v>
      </c>
      <c r="E404" s="7" t="s">
        <v>1868</v>
      </c>
      <c r="F404" s="7" t="s">
        <v>3124</v>
      </c>
      <c r="G404" s="7" t="s">
        <v>1871</v>
      </c>
      <c r="H404" s="7">
        <v>1085277116</v>
      </c>
      <c r="I404" s="7">
        <v>5</v>
      </c>
      <c r="J404" s="7" t="s">
        <v>3125</v>
      </c>
      <c r="K404" s="8">
        <v>26484058</v>
      </c>
      <c r="L404" s="7" t="s">
        <v>2037</v>
      </c>
      <c r="M404" s="7" t="s">
        <v>2306</v>
      </c>
      <c r="N404" s="7" t="s">
        <v>2167</v>
      </c>
      <c r="O404" s="7"/>
      <c r="P404" s="13" t="s">
        <v>3126</v>
      </c>
    </row>
    <row r="405" spans="1:16" ht="30" x14ac:dyDescent="0.25">
      <c r="A405" s="7" t="s">
        <v>1883</v>
      </c>
      <c r="B405" s="7" t="str">
        <f>"0821"</f>
        <v>0821</v>
      </c>
      <c r="C405" s="7">
        <v>2020</v>
      </c>
      <c r="D405" s="7" t="s">
        <v>1867</v>
      </c>
      <c r="E405" s="7" t="s">
        <v>1868</v>
      </c>
      <c r="F405" s="7" t="s">
        <v>3127</v>
      </c>
      <c r="G405" s="7" t="s">
        <v>1871</v>
      </c>
      <c r="H405" s="7">
        <v>59312105</v>
      </c>
      <c r="I405" s="7">
        <v>9</v>
      </c>
      <c r="J405" s="7" t="s">
        <v>3128</v>
      </c>
      <c r="K405" s="8">
        <v>26484058</v>
      </c>
      <c r="L405" s="7" t="s">
        <v>2037</v>
      </c>
      <c r="M405" s="7" t="s">
        <v>2239</v>
      </c>
      <c r="N405" s="7" t="s">
        <v>2167</v>
      </c>
      <c r="O405" s="7"/>
      <c r="P405" s="13" t="s">
        <v>3129</v>
      </c>
    </row>
    <row r="406" spans="1:16" ht="30" x14ac:dyDescent="0.25">
      <c r="A406" s="7" t="s">
        <v>1883</v>
      </c>
      <c r="B406" s="7" t="str">
        <f>"0830"</f>
        <v>0830</v>
      </c>
      <c r="C406" s="7">
        <v>2020</v>
      </c>
      <c r="D406" s="7" t="s">
        <v>1867</v>
      </c>
      <c r="E406" s="7" t="s">
        <v>1868</v>
      </c>
      <c r="F406" s="7" t="s">
        <v>3153</v>
      </c>
      <c r="G406" s="7" t="s">
        <v>1871</v>
      </c>
      <c r="H406" s="7">
        <v>1085272921</v>
      </c>
      <c r="I406" s="7">
        <v>5</v>
      </c>
      <c r="J406" s="7" t="s">
        <v>3154</v>
      </c>
      <c r="K406" s="8">
        <v>26254758</v>
      </c>
      <c r="L406" s="7" t="s">
        <v>2035</v>
      </c>
      <c r="M406" s="7" t="s">
        <v>2988</v>
      </c>
      <c r="N406" s="7" t="s">
        <v>2167</v>
      </c>
      <c r="O406" s="7"/>
      <c r="P406" s="13" t="s">
        <v>3155</v>
      </c>
    </row>
    <row r="407" spans="1:16" ht="30" x14ac:dyDescent="0.25">
      <c r="A407" s="7" t="s">
        <v>1883</v>
      </c>
      <c r="B407" s="7" t="str">
        <f>"0831"</f>
        <v>0831</v>
      </c>
      <c r="C407" s="7">
        <v>2020</v>
      </c>
      <c r="D407" s="7" t="s">
        <v>1867</v>
      </c>
      <c r="E407" s="7" t="s">
        <v>1868</v>
      </c>
      <c r="F407" s="7" t="s">
        <v>3153</v>
      </c>
      <c r="G407" s="7" t="s">
        <v>1871</v>
      </c>
      <c r="H407" s="7">
        <v>87452384</v>
      </c>
      <c r="I407" s="7">
        <v>9</v>
      </c>
      <c r="J407" s="7" t="s">
        <v>3156</v>
      </c>
      <c r="K407" s="8">
        <v>26254758</v>
      </c>
      <c r="L407" s="7" t="s">
        <v>2035</v>
      </c>
      <c r="M407" s="7" t="s">
        <v>2439</v>
      </c>
      <c r="N407" s="7" t="s">
        <v>2167</v>
      </c>
      <c r="O407" s="7"/>
      <c r="P407" s="13" t="s">
        <v>3157</v>
      </c>
    </row>
    <row r="408" spans="1:16" ht="30" x14ac:dyDescent="0.25">
      <c r="A408" s="7" t="s">
        <v>1883</v>
      </c>
      <c r="B408" s="7" t="str">
        <f>"0832"</f>
        <v>0832</v>
      </c>
      <c r="C408" s="7">
        <v>2020</v>
      </c>
      <c r="D408" s="7" t="s">
        <v>1867</v>
      </c>
      <c r="E408" s="7" t="s">
        <v>1868</v>
      </c>
      <c r="F408" s="7" t="s">
        <v>3158</v>
      </c>
      <c r="G408" s="7" t="s">
        <v>1871</v>
      </c>
      <c r="H408" s="7">
        <v>36953761</v>
      </c>
      <c r="I408" s="7">
        <v>7</v>
      </c>
      <c r="J408" s="7" t="s">
        <v>3159</v>
      </c>
      <c r="K408" s="8">
        <v>26140109</v>
      </c>
      <c r="L408" s="7" t="s">
        <v>1908</v>
      </c>
      <c r="M408" s="7" t="s">
        <v>2107</v>
      </c>
      <c r="N408" s="7" t="s">
        <v>2167</v>
      </c>
      <c r="O408" s="7"/>
      <c r="P408" s="13" t="s">
        <v>3160</v>
      </c>
    </row>
    <row r="409" spans="1:16" ht="30" x14ac:dyDescent="0.25">
      <c r="A409" s="7" t="s">
        <v>1883</v>
      </c>
      <c r="B409" s="7" t="str">
        <f>"0834"</f>
        <v>0834</v>
      </c>
      <c r="C409" s="7">
        <v>2020</v>
      </c>
      <c r="D409" s="7" t="s">
        <v>1867</v>
      </c>
      <c r="E409" s="7" t="s">
        <v>1868</v>
      </c>
      <c r="F409" s="7" t="s">
        <v>3165</v>
      </c>
      <c r="G409" s="7" t="s">
        <v>1871</v>
      </c>
      <c r="H409" s="7">
        <v>98387571</v>
      </c>
      <c r="I409" s="7">
        <v>1</v>
      </c>
      <c r="J409" s="7" t="s">
        <v>3166</v>
      </c>
      <c r="K409" s="8">
        <v>26140109</v>
      </c>
      <c r="L409" s="7" t="s">
        <v>1908</v>
      </c>
      <c r="M409" s="7" t="s">
        <v>2331</v>
      </c>
      <c r="N409" s="7" t="s">
        <v>2167</v>
      </c>
      <c r="O409" s="7"/>
      <c r="P409" s="13" t="s">
        <v>3167</v>
      </c>
    </row>
    <row r="410" spans="1:16" ht="30" x14ac:dyDescent="0.25">
      <c r="A410" s="7" t="s">
        <v>1883</v>
      </c>
      <c r="B410" s="7" t="str">
        <f>"0846"</f>
        <v>0846</v>
      </c>
      <c r="C410" s="7">
        <v>2020</v>
      </c>
      <c r="D410" s="7" t="s">
        <v>1867</v>
      </c>
      <c r="E410" s="7" t="s">
        <v>1875</v>
      </c>
      <c r="F410" s="7" t="s">
        <v>3184</v>
      </c>
      <c r="G410" s="7" t="s">
        <v>1871</v>
      </c>
      <c r="H410" s="7">
        <v>98396334</v>
      </c>
      <c r="I410" s="7">
        <v>0</v>
      </c>
      <c r="J410" s="7" t="s">
        <v>1886</v>
      </c>
      <c r="K410" s="8">
        <v>14437200</v>
      </c>
      <c r="L410" s="7" t="s">
        <v>1914</v>
      </c>
      <c r="M410" s="7" t="s">
        <v>2321</v>
      </c>
      <c r="N410" s="7" t="s">
        <v>2167</v>
      </c>
      <c r="O410" s="7"/>
      <c r="P410" s="13" t="s">
        <v>3185</v>
      </c>
    </row>
    <row r="411" spans="1:16" ht="30" x14ac:dyDescent="0.25">
      <c r="A411" s="7" t="s">
        <v>1883</v>
      </c>
      <c r="B411" s="7" t="str">
        <f>"1128"</f>
        <v>1128</v>
      </c>
      <c r="C411" s="7">
        <v>2020</v>
      </c>
      <c r="D411" s="7" t="s">
        <v>1867</v>
      </c>
      <c r="E411" s="7" t="s">
        <v>1875</v>
      </c>
      <c r="F411" s="7" t="s">
        <v>3617</v>
      </c>
      <c r="G411" s="7" t="s">
        <v>1871</v>
      </c>
      <c r="H411" s="7">
        <v>1086222266</v>
      </c>
      <c r="I411" s="7">
        <v>3</v>
      </c>
      <c r="J411" s="7" t="s">
        <v>3618</v>
      </c>
      <c r="K411" s="8">
        <v>9232600</v>
      </c>
      <c r="L411" s="7" t="s">
        <v>2417</v>
      </c>
      <c r="M411" s="7" t="s">
        <v>3392</v>
      </c>
      <c r="N411" s="7" t="s">
        <v>2167</v>
      </c>
      <c r="O411" s="7"/>
      <c r="P411" s="13" t="s">
        <v>3619</v>
      </c>
    </row>
    <row r="412" spans="1:16" x14ac:dyDescent="0.25">
      <c r="A412" s="7" t="s">
        <v>1883</v>
      </c>
      <c r="B412" s="7" t="str">
        <f>"1144"</f>
        <v>1144</v>
      </c>
      <c r="C412" s="7">
        <v>2020</v>
      </c>
      <c r="D412" s="7" t="s">
        <v>1867</v>
      </c>
      <c r="E412" s="7" t="s">
        <v>1875</v>
      </c>
      <c r="F412" s="7" t="s">
        <v>3648</v>
      </c>
      <c r="G412" s="7" t="s">
        <v>1871</v>
      </c>
      <c r="H412" s="7">
        <v>1085332448</v>
      </c>
      <c r="I412" s="7">
        <v>5</v>
      </c>
      <c r="J412" s="7" t="s">
        <v>3649</v>
      </c>
      <c r="K412" s="8">
        <v>7197167</v>
      </c>
      <c r="L412" s="7" t="s">
        <v>2306</v>
      </c>
      <c r="M412" s="7" t="s">
        <v>3214</v>
      </c>
      <c r="N412" s="7" t="s">
        <v>2167</v>
      </c>
      <c r="O412" s="7"/>
      <c r="P412" s="13" t="s">
        <v>1993</v>
      </c>
    </row>
    <row r="413" spans="1:16" ht="30" x14ac:dyDescent="0.25">
      <c r="A413" s="7" t="s">
        <v>1883</v>
      </c>
      <c r="B413" s="7" t="str">
        <f>"0545"</f>
        <v>0545</v>
      </c>
      <c r="C413" s="7">
        <v>2020</v>
      </c>
      <c r="D413" s="7" t="s">
        <v>1867</v>
      </c>
      <c r="E413" s="7" t="s">
        <v>1868</v>
      </c>
      <c r="F413" s="7" t="s">
        <v>2701</v>
      </c>
      <c r="G413" s="7" t="s">
        <v>1871</v>
      </c>
      <c r="H413" s="7">
        <v>12746320</v>
      </c>
      <c r="I413" s="7">
        <v>8</v>
      </c>
      <c r="J413" s="7" t="s">
        <v>2702</v>
      </c>
      <c r="K413" s="8">
        <v>27515904</v>
      </c>
      <c r="L413" s="7" t="s">
        <v>1898</v>
      </c>
      <c r="M413" s="7" t="s">
        <v>2235</v>
      </c>
      <c r="N413" s="7" t="s">
        <v>2197</v>
      </c>
      <c r="O413" s="7"/>
      <c r="P413" s="13" t="s">
        <v>2703</v>
      </c>
    </row>
    <row r="414" spans="1:16" ht="30" x14ac:dyDescent="0.25">
      <c r="A414" s="7" t="s">
        <v>1883</v>
      </c>
      <c r="B414" s="7" t="str">
        <f>"0546"</f>
        <v>0546</v>
      </c>
      <c r="C414" s="7">
        <v>2020</v>
      </c>
      <c r="D414" s="7" t="s">
        <v>1867</v>
      </c>
      <c r="E414" s="7" t="s">
        <v>1875</v>
      </c>
      <c r="F414" s="7" t="s">
        <v>2704</v>
      </c>
      <c r="G414" s="7" t="s">
        <v>1871</v>
      </c>
      <c r="H414" s="7">
        <v>1061696287</v>
      </c>
      <c r="I414" s="7">
        <v>6</v>
      </c>
      <c r="J414" s="7" t="s">
        <v>2705</v>
      </c>
      <c r="K414" s="8">
        <v>19264000</v>
      </c>
      <c r="L414" s="7" t="s">
        <v>1898</v>
      </c>
      <c r="M414" s="7" t="s">
        <v>2331</v>
      </c>
      <c r="N414" s="7" t="s">
        <v>2197</v>
      </c>
      <c r="O414" s="7"/>
      <c r="P414" s="13" t="s">
        <v>2706</v>
      </c>
    </row>
    <row r="415" spans="1:16" ht="30" x14ac:dyDescent="0.25">
      <c r="A415" s="7" t="s">
        <v>1883</v>
      </c>
      <c r="B415" s="7" t="str">
        <f>"0547"</f>
        <v>0547</v>
      </c>
      <c r="C415" s="7">
        <v>2020</v>
      </c>
      <c r="D415" s="7" t="s">
        <v>1867</v>
      </c>
      <c r="E415" s="7" t="s">
        <v>1875</v>
      </c>
      <c r="F415" s="7" t="s">
        <v>2707</v>
      </c>
      <c r="G415" s="7" t="s">
        <v>1871</v>
      </c>
      <c r="H415" s="7">
        <v>27534383</v>
      </c>
      <c r="I415" s="7">
        <v>6</v>
      </c>
      <c r="J415" s="7" t="s">
        <v>2708</v>
      </c>
      <c r="K415" s="8">
        <v>15264000</v>
      </c>
      <c r="L415" s="7" t="s">
        <v>1898</v>
      </c>
      <c r="M415" s="7" t="s">
        <v>2321</v>
      </c>
      <c r="N415" s="7" t="s">
        <v>2197</v>
      </c>
      <c r="O415" s="7"/>
      <c r="P415" s="13" t="s">
        <v>2709</v>
      </c>
    </row>
    <row r="416" spans="1:16" ht="30" x14ac:dyDescent="0.25">
      <c r="A416" s="7" t="s">
        <v>1883</v>
      </c>
      <c r="B416" s="7" t="str">
        <f>"0549"</f>
        <v>0549</v>
      </c>
      <c r="C416" s="7">
        <v>2020</v>
      </c>
      <c r="D416" s="7" t="s">
        <v>1867</v>
      </c>
      <c r="E416" s="7" t="s">
        <v>1875</v>
      </c>
      <c r="F416" s="7" t="s">
        <v>2713</v>
      </c>
      <c r="G416" s="7" t="s">
        <v>1871</v>
      </c>
      <c r="H416" s="7">
        <v>87064233</v>
      </c>
      <c r="I416" s="7">
        <v>0</v>
      </c>
      <c r="J416" s="7" t="s">
        <v>2714</v>
      </c>
      <c r="K416" s="8">
        <v>15264000</v>
      </c>
      <c r="L416" s="7" t="s">
        <v>1898</v>
      </c>
      <c r="M416" s="7" t="s">
        <v>2246</v>
      </c>
      <c r="N416" s="7" t="s">
        <v>2197</v>
      </c>
      <c r="O416" s="7"/>
      <c r="P416" s="13" t="s">
        <v>2715</v>
      </c>
    </row>
    <row r="417" spans="1:16" ht="30" x14ac:dyDescent="0.25">
      <c r="A417" s="7" t="s">
        <v>1883</v>
      </c>
      <c r="B417" s="7" t="str">
        <f>"0551"</f>
        <v>0551</v>
      </c>
      <c r="C417" s="7">
        <v>2020</v>
      </c>
      <c r="D417" s="7" t="s">
        <v>1867</v>
      </c>
      <c r="E417" s="7" t="s">
        <v>1868</v>
      </c>
      <c r="F417" s="7" t="s">
        <v>2719</v>
      </c>
      <c r="G417" s="7" t="s">
        <v>1871</v>
      </c>
      <c r="H417" s="7">
        <v>1085902896</v>
      </c>
      <c r="I417" s="7">
        <v>3</v>
      </c>
      <c r="J417" s="7" t="s">
        <v>2720</v>
      </c>
      <c r="K417" s="8">
        <v>22048000</v>
      </c>
      <c r="L417" s="7" t="s">
        <v>1898</v>
      </c>
      <c r="M417" s="7" t="s">
        <v>2246</v>
      </c>
      <c r="N417" s="7" t="s">
        <v>2197</v>
      </c>
      <c r="O417" s="7"/>
      <c r="P417" s="13" t="s">
        <v>2721</v>
      </c>
    </row>
    <row r="418" spans="1:16" ht="30" x14ac:dyDescent="0.25">
      <c r="A418" s="7" t="s">
        <v>1883</v>
      </c>
      <c r="B418" s="7" t="str">
        <f>"0552"</f>
        <v>0552</v>
      </c>
      <c r="C418" s="7">
        <v>2020</v>
      </c>
      <c r="D418" s="7" t="s">
        <v>1867</v>
      </c>
      <c r="E418" s="7" t="s">
        <v>1868</v>
      </c>
      <c r="F418" s="7" t="s">
        <v>2722</v>
      </c>
      <c r="G418" s="7" t="s">
        <v>1871</v>
      </c>
      <c r="H418" s="7">
        <v>59311792</v>
      </c>
      <c r="I418" s="7">
        <v>4</v>
      </c>
      <c r="J418" s="7" t="s">
        <v>1943</v>
      </c>
      <c r="K418" s="8">
        <v>27515904</v>
      </c>
      <c r="L418" s="7" t="s">
        <v>1898</v>
      </c>
      <c r="M418" s="7" t="s">
        <v>2318</v>
      </c>
      <c r="N418" s="7" t="s">
        <v>2197</v>
      </c>
      <c r="O418" s="7"/>
      <c r="P418" s="13" t="s">
        <v>2723</v>
      </c>
    </row>
    <row r="419" spans="1:16" ht="30" x14ac:dyDescent="0.25">
      <c r="A419" s="7" t="s">
        <v>1883</v>
      </c>
      <c r="B419" s="7" t="str">
        <f>"0554"</f>
        <v>0554</v>
      </c>
      <c r="C419" s="7">
        <v>2020</v>
      </c>
      <c r="D419" s="7" t="s">
        <v>1867</v>
      </c>
      <c r="E419" s="7" t="s">
        <v>1875</v>
      </c>
      <c r="F419" s="7" t="s">
        <v>2724</v>
      </c>
      <c r="G419" s="7" t="s">
        <v>1871</v>
      </c>
      <c r="H419" s="7">
        <v>12997233</v>
      </c>
      <c r="I419" s="7">
        <v>1</v>
      </c>
      <c r="J419" s="7" t="s">
        <v>1937</v>
      </c>
      <c r="K419" s="8">
        <v>15264000</v>
      </c>
      <c r="L419" s="7" t="s">
        <v>1898</v>
      </c>
      <c r="M419" s="7" t="s">
        <v>2246</v>
      </c>
      <c r="N419" s="7" t="s">
        <v>2197</v>
      </c>
      <c r="O419" s="7"/>
      <c r="P419" s="13" t="s">
        <v>2725</v>
      </c>
    </row>
    <row r="420" spans="1:16" ht="30" x14ac:dyDescent="0.25">
      <c r="A420" s="7" t="s">
        <v>1883</v>
      </c>
      <c r="B420" s="7" t="str">
        <f>"0558"</f>
        <v>0558</v>
      </c>
      <c r="C420" s="7">
        <v>2020</v>
      </c>
      <c r="D420" s="7" t="s">
        <v>1867</v>
      </c>
      <c r="E420" s="7" t="s">
        <v>1868</v>
      </c>
      <c r="F420" s="7" t="s">
        <v>2732</v>
      </c>
      <c r="G420" s="7" t="s">
        <v>1871</v>
      </c>
      <c r="H420" s="7">
        <v>1085292372</v>
      </c>
      <c r="I420" s="7">
        <v>7</v>
      </c>
      <c r="J420" s="7" t="s">
        <v>2733</v>
      </c>
      <c r="K420" s="8">
        <v>27515904</v>
      </c>
      <c r="L420" s="7" t="s">
        <v>1898</v>
      </c>
      <c r="M420" s="7" t="s">
        <v>2113</v>
      </c>
      <c r="N420" s="7" t="s">
        <v>2197</v>
      </c>
      <c r="O420" s="7"/>
      <c r="P420" s="13" t="s">
        <v>2734</v>
      </c>
    </row>
    <row r="421" spans="1:16" ht="30" x14ac:dyDescent="0.25">
      <c r="A421" s="7" t="s">
        <v>1883</v>
      </c>
      <c r="B421" s="7" t="str">
        <f>"0559"</f>
        <v>0559</v>
      </c>
      <c r="C421" s="7">
        <v>2020</v>
      </c>
      <c r="D421" s="7" t="s">
        <v>1867</v>
      </c>
      <c r="E421" s="7" t="s">
        <v>1875</v>
      </c>
      <c r="F421" s="7" t="s">
        <v>2735</v>
      </c>
      <c r="G421" s="7" t="s">
        <v>1871</v>
      </c>
      <c r="H421" s="7">
        <v>27302667</v>
      </c>
      <c r="I421" s="7">
        <v>7</v>
      </c>
      <c r="J421" s="7" t="s">
        <v>2736</v>
      </c>
      <c r="K421" s="8">
        <v>15264000</v>
      </c>
      <c r="L421" s="7" t="s">
        <v>1898</v>
      </c>
      <c r="M421" s="7" t="s">
        <v>2350</v>
      </c>
      <c r="N421" s="7" t="s">
        <v>2197</v>
      </c>
      <c r="O421" s="7"/>
      <c r="P421" s="13" t="s">
        <v>2737</v>
      </c>
    </row>
    <row r="422" spans="1:16" ht="30" x14ac:dyDescent="0.25">
      <c r="A422" s="7" t="s">
        <v>1883</v>
      </c>
      <c r="B422" s="7" t="str">
        <f>"0561"</f>
        <v>0561</v>
      </c>
      <c r="C422" s="7">
        <v>2020</v>
      </c>
      <c r="D422" s="7" t="s">
        <v>1867</v>
      </c>
      <c r="E422" s="7" t="s">
        <v>1875</v>
      </c>
      <c r="F422" s="7" t="s">
        <v>2735</v>
      </c>
      <c r="G422" s="7" t="s">
        <v>1871</v>
      </c>
      <c r="H422" s="7">
        <v>1085250277</v>
      </c>
      <c r="I422" s="7">
        <v>5</v>
      </c>
      <c r="J422" s="7" t="s">
        <v>1949</v>
      </c>
      <c r="K422" s="8">
        <v>15264000</v>
      </c>
      <c r="L422" s="7" t="s">
        <v>1898</v>
      </c>
      <c r="M422" s="7" t="s">
        <v>2318</v>
      </c>
      <c r="N422" s="7" t="s">
        <v>2197</v>
      </c>
      <c r="O422" s="7"/>
      <c r="P422" s="13" t="s">
        <v>2739</v>
      </c>
    </row>
    <row r="423" spans="1:16" ht="30" x14ac:dyDescent="0.25">
      <c r="A423" s="7" t="s">
        <v>1883</v>
      </c>
      <c r="B423" s="7" t="str">
        <f>"0564"</f>
        <v>0564</v>
      </c>
      <c r="C423" s="7">
        <v>2020</v>
      </c>
      <c r="D423" s="7" t="s">
        <v>1867</v>
      </c>
      <c r="E423" s="7" t="s">
        <v>1875</v>
      </c>
      <c r="F423" s="7" t="s">
        <v>2735</v>
      </c>
      <c r="G423" s="7" t="s">
        <v>1871</v>
      </c>
      <c r="H423" s="7">
        <v>1085258512</v>
      </c>
      <c r="I423" s="7">
        <v>8</v>
      </c>
      <c r="J423" s="7" t="s">
        <v>1952</v>
      </c>
      <c r="K423" s="8">
        <v>15264000</v>
      </c>
      <c r="L423" s="7" t="s">
        <v>1898</v>
      </c>
      <c r="M423" s="7" t="s">
        <v>2204</v>
      </c>
      <c r="N423" s="7" t="s">
        <v>2197</v>
      </c>
      <c r="O423" s="7"/>
      <c r="P423" s="13" t="s">
        <v>2744</v>
      </c>
    </row>
    <row r="424" spans="1:16" ht="30" x14ac:dyDescent="0.25">
      <c r="A424" s="7" t="s">
        <v>1883</v>
      </c>
      <c r="B424" s="7" t="str">
        <f>"0566"</f>
        <v>0566</v>
      </c>
      <c r="C424" s="7">
        <v>2020</v>
      </c>
      <c r="D424" s="7" t="s">
        <v>1867</v>
      </c>
      <c r="E424" s="7" t="s">
        <v>1875</v>
      </c>
      <c r="F424" s="7" t="s">
        <v>2735</v>
      </c>
      <c r="G424" s="7" t="s">
        <v>1871</v>
      </c>
      <c r="H424" s="7">
        <v>12985437</v>
      </c>
      <c r="I424" s="7">
        <v>5</v>
      </c>
      <c r="J424" s="7" t="s">
        <v>2747</v>
      </c>
      <c r="K424" s="8">
        <v>15264000</v>
      </c>
      <c r="L424" s="7" t="s">
        <v>1898</v>
      </c>
      <c r="M424" s="7" t="s">
        <v>2318</v>
      </c>
      <c r="N424" s="7" t="s">
        <v>2197</v>
      </c>
      <c r="O424" s="7"/>
      <c r="P424" s="13" t="s">
        <v>2748</v>
      </c>
    </row>
    <row r="425" spans="1:16" ht="30" x14ac:dyDescent="0.25">
      <c r="A425" s="7" t="s">
        <v>1883</v>
      </c>
      <c r="B425" s="7" t="str">
        <f>"0572"</f>
        <v>0572</v>
      </c>
      <c r="C425" s="7">
        <v>2020</v>
      </c>
      <c r="D425" s="7" t="s">
        <v>1867</v>
      </c>
      <c r="E425" s="7" t="s">
        <v>1875</v>
      </c>
      <c r="F425" s="7" t="s">
        <v>2756</v>
      </c>
      <c r="G425" s="7" t="s">
        <v>1871</v>
      </c>
      <c r="H425" s="7">
        <v>1124857648</v>
      </c>
      <c r="I425" s="7">
        <v>1</v>
      </c>
      <c r="J425" s="7" t="s">
        <v>2757</v>
      </c>
      <c r="K425" s="8">
        <v>18656000</v>
      </c>
      <c r="L425" s="7" t="s">
        <v>1898</v>
      </c>
      <c r="M425" s="7" t="s">
        <v>2235</v>
      </c>
      <c r="N425" s="7" t="s">
        <v>2197</v>
      </c>
      <c r="O425" s="7"/>
      <c r="P425" s="13" t="s">
        <v>2758</v>
      </c>
    </row>
    <row r="426" spans="1:16" ht="30" x14ac:dyDescent="0.25">
      <c r="A426" s="7" t="s">
        <v>1883</v>
      </c>
      <c r="B426" s="7" t="str">
        <f>"0577"</f>
        <v>0577</v>
      </c>
      <c r="C426" s="7">
        <v>2020</v>
      </c>
      <c r="D426" s="7" t="s">
        <v>1867</v>
      </c>
      <c r="E426" s="7" t="s">
        <v>1868</v>
      </c>
      <c r="F426" s="7" t="s">
        <v>2762</v>
      </c>
      <c r="G426" s="7" t="s">
        <v>1871</v>
      </c>
      <c r="H426" s="7">
        <v>1130606985</v>
      </c>
      <c r="I426" s="7">
        <v>4</v>
      </c>
      <c r="J426" s="7" t="s">
        <v>2763</v>
      </c>
      <c r="K426" s="8">
        <v>27515904</v>
      </c>
      <c r="L426" s="7" t="s">
        <v>1898</v>
      </c>
      <c r="M426" s="7" t="s">
        <v>2235</v>
      </c>
      <c r="N426" s="7" t="s">
        <v>2197</v>
      </c>
      <c r="O426" s="7"/>
      <c r="P426" s="13" t="s">
        <v>2764</v>
      </c>
    </row>
    <row r="427" spans="1:16" ht="30" x14ac:dyDescent="0.25">
      <c r="A427" s="7" t="s">
        <v>1883</v>
      </c>
      <c r="B427" s="7" t="str">
        <f>"0578"</f>
        <v>0578</v>
      </c>
      <c r="C427" s="7">
        <v>2020</v>
      </c>
      <c r="D427" s="7" t="s">
        <v>1867</v>
      </c>
      <c r="E427" s="7" t="s">
        <v>1868</v>
      </c>
      <c r="F427" s="7" t="s">
        <v>2765</v>
      </c>
      <c r="G427" s="7" t="s">
        <v>1871</v>
      </c>
      <c r="H427" s="7">
        <v>27082388</v>
      </c>
      <c r="I427" s="7">
        <v>1</v>
      </c>
      <c r="J427" s="7" t="s">
        <v>2766</v>
      </c>
      <c r="K427" s="8">
        <v>27515904</v>
      </c>
      <c r="L427" s="7" t="s">
        <v>1898</v>
      </c>
      <c r="M427" s="7" t="s">
        <v>2298</v>
      </c>
      <c r="N427" s="7" t="s">
        <v>2197</v>
      </c>
      <c r="O427" s="7"/>
      <c r="P427" s="13" t="s">
        <v>2767</v>
      </c>
    </row>
    <row r="428" spans="1:16" ht="30" x14ac:dyDescent="0.25">
      <c r="A428" s="7" t="s">
        <v>1883</v>
      </c>
      <c r="B428" s="7" t="str">
        <f>"0589"</f>
        <v>0589</v>
      </c>
      <c r="C428" s="7">
        <v>2020</v>
      </c>
      <c r="D428" s="7" t="s">
        <v>1867</v>
      </c>
      <c r="E428" s="7" t="s">
        <v>1875</v>
      </c>
      <c r="F428" s="7" t="s">
        <v>2786</v>
      </c>
      <c r="G428" s="7" t="s">
        <v>1871</v>
      </c>
      <c r="H428" s="7">
        <v>1085296112</v>
      </c>
      <c r="I428" s="7">
        <v>7</v>
      </c>
      <c r="J428" s="7" t="s">
        <v>1893</v>
      </c>
      <c r="K428" s="8">
        <v>15264000</v>
      </c>
      <c r="L428" s="7" t="s">
        <v>1898</v>
      </c>
      <c r="M428" s="7" t="s">
        <v>2321</v>
      </c>
      <c r="N428" s="7" t="s">
        <v>2197</v>
      </c>
      <c r="O428" s="7"/>
      <c r="P428" s="13" t="s">
        <v>2787</v>
      </c>
    </row>
    <row r="429" spans="1:16" ht="30" x14ac:dyDescent="0.25">
      <c r="A429" s="7" t="s">
        <v>1883</v>
      </c>
      <c r="B429" s="7" t="str">
        <f>"0590"</f>
        <v>0590</v>
      </c>
      <c r="C429" s="7">
        <v>2020</v>
      </c>
      <c r="D429" s="7" t="s">
        <v>1867</v>
      </c>
      <c r="E429" s="7" t="s">
        <v>1875</v>
      </c>
      <c r="F429" s="7" t="s">
        <v>2788</v>
      </c>
      <c r="G429" s="7" t="s">
        <v>1871</v>
      </c>
      <c r="H429" s="7">
        <v>12984666</v>
      </c>
      <c r="I429" s="7">
        <v>0</v>
      </c>
      <c r="J429" s="7" t="s">
        <v>1889</v>
      </c>
      <c r="K429" s="8">
        <v>15264000</v>
      </c>
      <c r="L429" s="7" t="s">
        <v>1898</v>
      </c>
      <c r="M429" s="7" t="s">
        <v>2318</v>
      </c>
      <c r="N429" s="7" t="s">
        <v>2197</v>
      </c>
      <c r="O429" s="7"/>
      <c r="P429" s="13" t="s">
        <v>2789</v>
      </c>
    </row>
    <row r="430" spans="1:16" ht="30" x14ac:dyDescent="0.25">
      <c r="A430" s="7" t="s">
        <v>1883</v>
      </c>
      <c r="B430" s="7" t="str">
        <f>"0591"</f>
        <v>0591</v>
      </c>
      <c r="C430" s="7">
        <v>2020</v>
      </c>
      <c r="D430" s="7" t="s">
        <v>1867</v>
      </c>
      <c r="E430" s="7" t="s">
        <v>1875</v>
      </c>
      <c r="F430" s="7" t="s">
        <v>2790</v>
      </c>
      <c r="G430" s="7" t="s">
        <v>1871</v>
      </c>
      <c r="H430" s="7">
        <v>1018449445</v>
      </c>
      <c r="I430" s="7">
        <v>9</v>
      </c>
      <c r="J430" s="7" t="s">
        <v>1888</v>
      </c>
      <c r="K430" s="8">
        <v>15264000</v>
      </c>
      <c r="L430" s="7" t="s">
        <v>1898</v>
      </c>
      <c r="M430" s="7" t="s">
        <v>2350</v>
      </c>
      <c r="N430" s="7" t="s">
        <v>2197</v>
      </c>
      <c r="O430" s="7"/>
      <c r="P430" s="13" t="s">
        <v>2791</v>
      </c>
    </row>
    <row r="431" spans="1:16" ht="30" x14ac:dyDescent="0.25">
      <c r="A431" s="7" t="s">
        <v>1883</v>
      </c>
      <c r="B431" s="7" t="str">
        <f>"0592"</f>
        <v>0592</v>
      </c>
      <c r="C431" s="7">
        <v>2020</v>
      </c>
      <c r="D431" s="7" t="s">
        <v>1867</v>
      </c>
      <c r="E431" s="7" t="s">
        <v>1875</v>
      </c>
      <c r="F431" s="7" t="s">
        <v>2792</v>
      </c>
      <c r="G431" s="7" t="s">
        <v>1871</v>
      </c>
      <c r="H431" s="7">
        <v>12992448</v>
      </c>
      <c r="I431" s="7">
        <v>5</v>
      </c>
      <c r="J431" s="7" t="s">
        <v>1887</v>
      </c>
      <c r="K431" s="8">
        <v>15264000</v>
      </c>
      <c r="L431" s="7" t="s">
        <v>1898</v>
      </c>
      <c r="M431" s="7" t="s">
        <v>2421</v>
      </c>
      <c r="N431" s="7" t="s">
        <v>2197</v>
      </c>
      <c r="O431" s="7"/>
      <c r="P431" s="13" t="s">
        <v>2793</v>
      </c>
    </row>
    <row r="432" spans="1:16" ht="30" x14ac:dyDescent="0.25">
      <c r="A432" s="7" t="s">
        <v>1883</v>
      </c>
      <c r="B432" s="7" t="str">
        <f>"0593"</f>
        <v>0593</v>
      </c>
      <c r="C432" s="7">
        <v>2020</v>
      </c>
      <c r="D432" s="7" t="s">
        <v>1867</v>
      </c>
      <c r="E432" s="7" t="s">
        <v>1875</v>
      </c>
      <c r="F432" s="7" t="s">
        <v>2794</v>
      </c>
      <c r="G432" s="7" t="s">
        <v>1871</v>
      </c>
      <c r="H432" s="7">
        <v>5336887</v>
      </c>
      <c r="I432" s="7">
        <v>7</v>
      </c>
      <c r="J432" s="7" t="s">
        <v>1890</v>
      </c>
      <c r="K432" s="8">
        <v>16112000</v>
      </c>
      <c r="L432" s="7" t="s">
        <v>1898</v>
      </c>
      <c r="M432" s="7" t="s">
        <v>2318</v>
      </c>
      <c r="N432" s="7" t="s">
        <v>2197</v>
      </c>
      <c r="O432" s="7"/>
      <c r="P432" s="13" t="s">
        <v>2795</v>
      </c>
    </row>
    <row r="433" spans="1:16" ht="30" x14ac:dyDescent="0.25">
      <c r="A433" s="7" t="s">
        <v>1883</v>
      </c>
      <c r="B433" s="7" t="str">
        <f>"0595"</f>
        <v>0595</v>
      </c>
      <c r="C433" s="7">
        <v>2020</v>
      </c>
      <c r="D433" s="7" t="s">
        <v>1867</v>
      </c>
      <c r="E433" s="7" t="s">
        <v>1875</v>
      </c>
      <c r="F433" s="7" t="s">
        <v>2799</v>
      </c>
      <c r="G433" s="7" t="s">
        <v>1871</v>
      </c>
      <c r="H433" s="7">
        <v>27080563</v>
      </c>
      <c r="I433" s="7">
        <v>5</v>
      </c>
      <c r="J433" s="7" t="s">
        <v>1957</v>
      </c>
      <c r="K433" s="8">
        <v>15264000</v>
      </c>
      <c r="L433" s="7" t="s">
        <v>1898</v>
      </c>
      <c r="M433" s="7" t="s">
        <v>2350</v>
      </c>
      <c r="N433" s="7" t="s">
        <v>2197</v>
      </c>
      <c r="O433" s="7"/>
      <c r="P433" s="13" t="s">
        <v>2800</v>
      </c>
    </row>
    <row r="434" spans="1:16" ht="30" x14ac:dyDescent="0.25">
      <c r="A434" s="7" t="s">
        <v>1883</v>
      </c>
      <c r="B434" s="7" t="str">
        <f>"0596"</f>
        <v>0596</v>
      </c>
      <c r="C434" s="7">
        <v>2020</v>
      </c>
      <c r="D434" s="7" t="s">
        <v>1867</v>
      </c>
      <c r="E434" s="7" t="s">
        <v>1875</v>
      </c>
      <c r="F434" s="7" t="s">
        <v>2801</v>
      </c>
      <c r="G434" s="7" t="s">
        <v>1871</v>
      </c>
      <c r="H434" s="7">
        <v>1233194040</v>
      </c>
      <c r="I434" s="7">
        <v>3</v>
      </c>
      <c r="J434" s="7" t="s">
        <v>2802</v>
      </c>
      <c r="K434" s="8">
        <v>15264000</v>
      </c>
      <c r="L434" s="7" t="s">
        <v>1898</v>
      </c>
      <c r="M434" s="7" t="s">
        <v>2350</v>
      </c>
      <c r="N434" s="7" t="s">
        <v>2197</v>
      </c>
      <c r="O434" s="7"/>
      <c r="P434" s="13" t="s">
        <v>2803</v>
      </c>
    </row>
    <row r="435" spans="1:16" ht="30" x14ac:dyDescent="0.25">
      <c r="A435" s="7" t="s">
        <v>1883</v>
      </c>
      <c r="B435" s="7" t="str">
        <f>"0598"</f>
        <v>0598</v>
      </c>
      <c r="C435" s="7">
        <v>2020</v>
      </c>
      <c r="D435" s="7" t="s">
        <v>1867</v>
      </c>
      <c r="E435" s="7" t="s">
        <v>1875</v>
      </c>
      <c r="F435" s="7" t="s">
        <v>2735</v>
      </c>
      <c r="G435" s="7" t="s">
        <v>1871</v>
      </c>
      <c r="H435" s="7">
        <v>5228633</v>
      </c>
      <c r="I435" s="7">
        <v>0</v>
      </c>
      <c r="J435" s="7" t="s">
        <v>2804</v>
      </c>
      <c r="K435" s="8">
        <v>15264000</v>
      </c>
      <c r="L435" s="7" t="s">
        <v>1898</v>
      </c>
      <c r="M435" s="7" t="s">
        <v>2717</v>
      </c>
      <c r="N435" s="7" t="s">
        <v>2197</v>
      </c>
      <c r="O435" s="7"/>
      <c r="P435" s="13" t="s">
        <v>2805</v>
      </c>
    </row>
    <row r="436" spans="1:16" ht="30" x14ac:dyDescent="0.25">
      <c r="A436" s="7" t="s">
        <v>1883</v>
      </c>
      <c r="B436" s="7" t="str">
        <f>"0599"</f>
        <v>0599</v>
      </c>
      <c r="C436" s="7">
        <v>2020</v>
      </c>
      <c r="D436" s="7" t="s">
        <v>1867</v>
      </c>
      <c r="E436" s="7" t="s">
        <v>1875</v>
      </c>
      <c r="F436" s="7" t="s">
        <v>2806</v>
      </c>
      <c r="G436" s="7" t="s">
        <v>1871</v>
      </c>
      <c r="H436" s="7">
        <v>59820234</v>
      </c>
      <c r="I436" s="7">
        <v>1</v>
      </c>
      <c r="J436" s="7" t="s">
        <v>1885</v>
      </c>
      <c r="K436" s="8">
        <v>15264000</v>
      </c>
      <c r="L436" s="7" t="s">
        <v>1898</v>
      </c>
      <c r="M436" s="7" t="s">
        <v>2246</v>
      </c>
      <c r="N436" s="7" t="s">
        <v>2197</v>
      </c>
      <c r="O436" s="7"/>
      <c r="P436" s="13" t="s">
        <v>2807</v>
      </c>
    </row>
    <row r="437" spans="1:16" ht="30" x14ac:dyDescent="0.25">
      <c r="A437" s="7" t="s">
        <v>1883</v>
      </c>
      <c r="B437" s="7" t="str">
        <f>"0600"</f>
        <v>0600</v>
      </c>
      <c r="C437" s="7">
        <v>2020</v>
      </c>
      <c r="D437" s="7" t="s">
        <v>1867</v>
      </c>
      <c r="E437" s="7" t="s">
        <v>1875</v>
      </c>
      <c r="F437" s="7" t="s">
        <v>2808</v>
      </c>
      <c r="G437" s="7" t="s">
        <v>1871</v>
      </c>
      <c r="H437" s="7">
        <v>1085266050</v>
      </c>
      <c r="I437" s="7">
        <v>0</v>
      </c>
      <c r="J437" s="7" t="s">
        <v>2809</v>
      </c>
      <c r="K437" s="8">
        <v>17808000</v>
      </c>
      <c r="L437" s="7" t="s">
        <v>1898</v>
      </c>
      <c r="M437" s="7" t="s">
        <v>2350</v>
      </c>
      <c r="N437" s="7" t="s">
        <v>2197</v>
      </c>
      <c r="O437" s="7"/>
      <c r="P437" s="13" t="s">
        <v>2810</v>
      </c>
    </row>
    <row r="438" spans="1:16" ht="30" x14ac:dyDescent="0.25">
      <c r="A438" s="7" t="s">
        <v>1883</v>
      </c>
      <c r="B438" s="7" t="str">
        <f>"0970"</f>
        <v>0970</v>
      </c>
      <c r="C438" s="7">
        <v>2020</v>
      </c>
      <c r="D438" s="7" t="s">
        <v>1867</v>
      </c>
      <c r="E438" s="7" t="s">
        <v>1875</v>
      </c>
      <c r="F438" s="7" t="s">
        <v>3374</v>
      </c>
      <c r="G438" s="7" t="s">
        <v>1871</v>
      </c>
      <c r="H438" s="7">
        <v>30745911</v>
      </c>
      <c r="I438" s="7">
        <v>1</v>
      </c>
      <c r="J438" s="7" t="s">
        <v>3375</v>
      </c>
      <c r="K438" s="8">
        <v>11501000</v>
      </c>
      <c r="L438" s="7" t="s">
        <v>2257</v>
      </c>
      <c r="M438" s="7" t="s">
        <v>3214</v>
      </c>
      <c r="N438" s="7" t="s">
        <v>2197</v>
      </c>
      <c r="O438" s="7"/>
      <c r="P438" s="13" t="s">
        <v>3376</v>
      </c>
    </row>
    <row r="439" spans="1:16" x14ac:dyDescent="0.25">
      <c r="A439" s="7" t="s">
        <v>1883</v>
      </c>
      <c r="B439" s="7" t="str">
        <f>"1671"</f>
        <v>1671</v>
      </c>
      <c r="C439" s="7">
        <v>2020</v>
      </c>
      <c r="D439" s="7" t="s">
        <v>1867</v>
      </c>
      <c r="E439" s="7" t="s">
        <v>1868</v>
      </c>
      <c r="F439" s="7" t="s">
        <v>4268</v>
      </c>
      <c r="G439" s="7" t="s">
        <v>1871</v>
      </c>
      <c r="H439" s="7">
        <v>87067573</v>
      </c>
      <c r="I439" s="7">
        <v>3</v>
      </c>
      <c r="J439" s="7" t="s">
        <v>4269</v>
      </c>
      <c r="K439" s="8">
        <v>3000000</v>
      </c>
      <c r="L439" s="7" t="s">
        <v>1915</v>
      </c>
      <c r="M439" s="7" t="s">
        <v>3272</v>
      </c>
      <c r="N439" s="7" t="s">
        <v>2197</v>
      </c>
      <c r="O439" s="7"/>
      <c r="P439" s="13" t="s">
        <v>1993</v>
      </c>
    </row>
    <row r="440" spans="1:16" ht="30" x14ac:dyDescent="0.25">
      <c r="A440" s="7" t="s">
        <v>1883</v>
      </c>
      <c r="B440" s="7" t="str">
        <f>"0548"</f>
        <v>0548</v>
      </c>
      <c r="C440" s="7">
        <v>2020</v>
      </c>
      <c r="D440" s="7" t="s">
        <v>1867</v>
      </c>
      <c r="E440" s="7" t="s">
        <v>1875</v>
      </c>
      <c r="F440" s="7" t="s">
        <v>2710</v>
      </c>
      <c r="G440" s="7" t="s">
        <v>1871</v>
      </c>
      <c r="H440" s="7">
        <v>1085318323</v>
      </c>
      <c r="I440" s="7">
        <v>0</v>
      </c>
      <c r="J440" s="7" t="s">
        <v>2711</v>
      </c>
      <c r="K440" s="8">
        <v>19264000</v>
      </c>
      <c r="L440" s="7" t="s">
        <v>1898</v>
      </c>
      <c r="M440" s="7" t="s">
        <v>2350</v>
      </c>
      <c r="N440" s="7" t="s">
        <v>2205</v>
      </c>
      <c r="O440" s="7"/>
      <c r="P440" s="13" t="s">
        <v>2712</v>
      </c>
    </row>
    <row r="441" spans="1:16" ht="30" x14ac:dyDescent="0.25">
      <c r="A441" s="7" t="s">
        <v>1883</v>
      </c>
      <c r="B441" s="7" t="str">
        <f>"0557"</f>
        <v>0557</v>
      </c>
      <c r="C441" s="7">
        <v>2020</v>
      </c>
      <c r="D441" s="7" t="s">
        <v>1867</v>
      </c>
      <c r="E441" s="7" t="s">
        <v>1875</v>
      </c>
      <c r="F441" s="7" t="s">
        <v>2729</v>
      </c>
      <c r="G441" s="7" t="s">
        <v>1871</v>
      </c>
      <c r="H441" s="7">
        <v>27142944</v>
      </c>
      <c r="I441" s="7">
        <v>5</v>
      </c>
      <c r="J441" s="7" t="s">
        <v>2730</v>
      </c>
      <c r="K441" s="8">
        <v>15264000</v>
      </c>
      <c r="L441" s="7" t="s">
        <v>1898</v>
      </c>
      <c r="M441" s="7" t="s">
        <v>2318</v>
      </c>
      <c r="N441" s="7" t="s">
        <v>2205</v>
      </c>
      <c r="O441" s="7"/>
      <c r="P441" s="13" t="s">
        <v>2731</v>
      </c>
    </row>
    <row r="442" spans="1:16" ht="30" x14ac:dyDescent="0.25">
      <c r="A442" s="7" t="s">
        <v>1883</v>
      </c>
      <c r="B442" s="7" t="str">
        <f>"0563"</f>
        <v>0563</v>
      </c>
      <c r="C442" s="7">
        <v>2020</v>
      </c>
      <c r="D442" s="7" t="s">
        <v>1867</v>
      </c>
      <c r="E442" s="7" t="s">
        <v>1875</v>
      </c>
      <c r="F442" s="7" t="s">
        <v>1947</v>
      </c>
      <c r="G442" s="7" t="s">
        <v>1871</v>
      </c>
      <c r="H442" s="7">
        <v>13016001</v>
      </c>
      <c r="I442" s="7">
        <v>5</v>
      </c>
      <c r="J442" s="7" t="s">
        <v>1962</v>
      </c>
      <c r="K442" s="8">
        <v>15264000</v>
      </c>
      <c r="L442" s="7" t="s">
        <v>1898</v>
      </c>
      <c r="M442" s="7" t="s">
        <v>2284</v>
      </c>
      <c r="N442" s="7" t="s">
        <v>2205</v>
      </c>
      <c r="O442" s="7"/>
      <c r="P442" s="13" t="s">
        <v>2743</v>
      </c>
    </row>
    <row r="443" spans="1:16" ht="30" x14ac:dyDescent="0.25">
      <c r="A443" s="7" t="s">
        <v>1883</v>
      </c>
      <c r="B443" s="7" t="str">
        <f>"0565"</f>
        <v>0565</v>
      </c>
      <c r="C443" s="7">
        <v>2020</v>
      </c>
      <c r="D443" s="7" t="s">
        <v>1867</v>
      </c>
      <c r="E443" s="7" t="s">
        <v>1875</v>
      </c>
      <c r="F443" s="7" t="s">
        <v>1947</v>
      </c>
      <c r="G443" s="7" t="s">
        <v>1871</v>
      </c>
      <c r="H443" s="7">
        <v>13069935</v>
      </c>
      <c r="I443" s="7">
        <v>6</v>
      </c>
      <c r="J443" s="7" t="s">
        <v>2745</v>
      </c>
      <c r="K443" s="8">
        <v>15264000</v>
      </c>
      <c r="L443" s="7" t="s">
        <v>1898</v>
      </c>
      <c r="M443" s="7" t="s">
        <v>2717</v>
      </c>
      <c r="N443" s="7" t="s">
        <v>2205</v>
      </c>
      <c r="O443" s="7"/>
      <c r="P443" s="13" t="s">
        <v>2746</v>
      </c>
    </row>
    <row r="444" spans="1:16" ht="30" x14ac:dyDescent="0.25">
      <c r="A444" s="7" t="s">
        <v>1883</v>
      </c>
      <c r="B444" s="7" t="str">
        <f>"0567"</f>
        <v>0567</v>
      </c>
      <c r="C444" s="7">
        <v>2020</v>
      </c>
      <c r="D444" s="7" t="s">
        <v>1867</v>
      </c>
      <c r="E444" s="7" t="s">
        <v>1875</v>
      </c>
      <c r="F444" s="7" t="s">
        <v>1947</v>
      </c>
      <c r="G444" s="7" t="s">
        <v>1871</v>
      </c>
      <c r="H444" s="7">
        <v>98398431</v>
      </c>
      <c r="I444" s="7">
        <v>6</v>
      </c>
      <c r="J444" s="7" t="s">
        <v>1963</v>
      </c>
      <c r="K444" s="8">
        <v>15264000</v>
      </c>
      <c r="L444" s="7" t="s">
        <v>1898</v>
      </c>
      <c r="M444" s="7" t="s">
        <v>2306</v>
      </c>
      <c r="N444" s="7" t="s">
        <v>2205</v>
      </c>
      <c r="O444" s="7"/>
      <c r="P444" s="13" t="s">
        <v>2749</v>
      </c>
    </row>
    <row r="445" spans="1:16" ht="30" x14ac:dyDescent="0.25">
      <c r="A445" s="7" t="s">
        <v>1883</v>
      </c>
      <c r="B445" s="7" t="str">
        <f>"0575"</f>
        <v>0575</v>
      </c>
      <c r="C445" s="7">
        <v>2020</v>
      </c>
      <c r="D445" s="7" t="s">
        <v>1867</v>
      </c>
      <c r="E445" s="7" t="s">
        <v>1875</v>
      </c>
      <c r="F445" s="7" t="s">
        <v>2759</v>
      </c>
      <c r="G445" s="7" t="s">
        <v>1871</v>
      </c>
      <c r="H445" s="7">
        <v>1084224759</v>
      </c>
      <c r="I445" s="7">
        <v>4</v>
      </c>
      <c r="J445" s="7" t="s">
        <v>2760</v>
      </c>
      <c r="K445" s="8">
        <v>11024000</v>
      </c>
      <c r="L445" s="7" t="s">
        <v>1898</v>
      </c>
      <c r="M445" s="7" t="s">
        <v>2350</v>
      </c>
      <c r="N445" s="7" t="s">
        <v>2205</v>
      </c>
      <c r="O445" s="7"/>
      <c r="P445" s="13" t="s">
        <v>2761</v>
      </c>
    </row>
    <row r="446" spans="1:16" ht="30" x14ac:dyDescent="0.25">
      <c r="A446" s="7" t="s">
        <v>1883</v>
      </c>
      <c r="B446" s="7" t="str">
        <f>"1009"</f>
        <v>1009</v>
      </c>
      <c r="C446" s="7">
        <v>2020</v>
      </c>
      <c r="D446" s="7" t="s">
        <v>1867</v>
      </c>
      <c r="E446" s="7" t="s">
        <v>1868</v>
      </c>
      <c r="F446" s="7" t="s">
        <v>3457</v>
      </c>
      <c r="G446" s="7" t="s">
        <v>1871</v>
      </c>
      <c r="H446" s="7">
        <v>1085321114</v>
      </c>
      <c r="I446" s="7">
        <v>9</v>
      </c>
      <c r="J446" s="7" t="s">
        <v>3458</v>
      </c>
      <c r="K446" s="8">
        <v>22050000</v>
      </c>
      <c r="L446" s="7" t="s">
        <v>2298</v>
      </c>
      <c r="M446" s="7" t="s">
        <v>2246</v>
      </c>
      <c r="N446" s="7" t="s">
        <v>2205</v>
      </c>
      <c r="O446" s="7"/>
      <c r="P446" s="13" t="s">
        <v>3459</v>
      </c>
    </row>
    <row r="447" spans="1:16" ht="30" x14ac:dyDescent="0.25">
      <c r="A447" s="7" t="s">
        <v>1883</v>
      </c>
      <c r="B447" s="7" t="str">
        <f>"0697"</f>
        <v>0697</v>
      </c>
      <c r="C447" s="7">
        <v>2020</v>
      </c>
      <c r="D447" s="7" t="s">
        <v>1867</v>
      </c>
      <c r="E447" s="7" t="s">
        <v>1868</v>
      </c>
      <c r="F447" s="7" t="s">
        <v>2934</v>
      </c>
      <c r="G447" s="7" t="s">
        <v>1871</v>
      </c>
      <c r="H447" s="7">
        <v>12994817</v>
      </c>
      <c r="I447" s="7">
        <v>9</v>
      </c>
      <c r="J447" s="7" t="s">
        <v>2935</v>
      </c>
      <c r="K447" s="8">
        <v>27515904</v>
      </c>
      <c r="L447" s="7" t="s">
        <v>1997</v>
      </c>
      <c r="M447" s="7" t="s">
        <v>2239</v>
      </c>
      <c r="N447" s="7" t="s">
        <v>2903</v>
      </c>
      <c r="O447" s="7"/>
      <c r="P447" s="13" t="s">
        <v>2936</v>
      </c>
    </row>
    <row r="448" spans="1:16" ht="30" x14ac:dyDescent="0.25">
      <c r="A448" s="7" t="s">
        <v>1883</v>
      </c>
      <c r="B448" s="7" t="str">
        <f>"0698"</f>
        <v>0698</v>
      </c>
      <c r="C448" s="7">
        <v>2020</v>
      </c>
      <c r="D448" s="7" t="s">
        <v>1867</v>
      </c>
      <c r="E448" s="7" t="s">
        <v>1875</v>
      </c>
      <c r="F448" s="7" t="s">
        <v>2937</v>
      </c>
      <c r="G448" s="7" t="s">
        <v>1871</v>
      </c>
      <c r="H448" s="7">
        <v>1085302707</v>
      </c>
      <c r="I448" s="7">
        <v>5</v>
      </c>
      <c r="J448" s="7" t="s">
        <v>2938</v>
      </c>
      <c r="K448" s="8">
        <v>18576000</v>
      </c>
      <c r="L448" s="7" t="s">
        <v>1997</v>
      </c>
      <c r="M448" s="7" t="s">
        <v>2417</v>
      </c>
      <c r="N448" s="7" t="s">
        <v>2903</v>
      </c>
      <c r="O448" s="7"/>
      <c r="P448" s="13" t="s">
        <v>2939</v>
      </c>
    </row>
    <row r="449" spans="1:16" ht="30" x14ac:dyDescent="0.25">
      <c r="A449" s="7" t="s">
        <v>1883</v>
      </c>
      <c r="B449" s="7" t="str">
        <f>"0701"</f>
        <v>0701</v>
      </c>
      <c r="C449" s="7">
        <v>2020</v>
      </c>
      <c r="D449" s="7" t="s">
        <v>1867</v>
      </c>
      <c r="E449" s="7" t="s">
        <v>1875</v>
      </c>
      <c r="F449" s="7" t="s">
        <v>2942</v>
      </c>
      <c r="G449" s="7" t="s">
        <v>1871</v>
      </c>
      <c r="H449" s="7">
        <v>1085252423</v>
      </c>
      <c r="I449" s="7">
        <v>3</v>
      </c>
      <c r="J449" s="7" t="s">
        <v>2943</v>
      </c>
      <c r="K449" s="8">
        <v>15264000</v>
      </c>
      <c r="L449" s="7" t="s">
        <v>1997</v>
      </c>
      <c r="M449" s="7" t="s">
        <v>2717</v>
      </c>
      <c r="N449" s="7" t="s">
        <v>2903</v>
      </c>
      <c r="O449" s="7"/>
      <c r="P449" s="13" t="s">
        <v>2944</v>
      </c>
    </row>
    <row r="450" spans="1:16" ht="30" x14ac:dyDescent="0.25">
      <c r="A450" s="7" t="s">
        <v>1883</v>
      </c>
      <c r="B450" s="7" t="str">
        <f>"0702"</f>
        <v>0702</v>
      </c>
      <c r="C450" s="7">
        <v>2020</v>
      </c>
      <c r="D450" s="7" t="s">
        <v>1867</v>
      </c>
      <c r="E450" s="7" t="s">
        <v>1875</v>
      </c>
      <c r="F450" s="7" t="s">
        <v>2942</v>
      </c>
      <c r="G450" s="7" t="s">
        <v>1871</v>
      </c>
      <c r="H450" s="7">
        <v>13008370</v>
      </c>
      <c r="I450" s="7">
        <v>4</v>
      </c>
      <c r="J450" s="7" t="s">
        <v>2945</v>
      </c>
      <c r="K450" s="8">
        <v>15264000</v>
      </c>
      <c r="L450" s="7" t="s">
        <v>1997</v>
      </c>
      <c r="M450" s="7" t="s">
        <v>2321</v>
      </c>
      <c r="N450" s="7" t="s">
        <v>2903</v>
      </c>
      <c r="O450" s="7"/>
      <c r="P450" s="13" t="s">
        <v>2946</v>
      </c>
    </row>
    <row r="451" spans="1:16" ht="30" x14ac:dyDescent="0.25">
      <c r="A451" s="7" t="s">
        <v>1883</v>
      </c>
      <c r="B451" s="7" t="str">
        <f>"0703"</f>
        <v>0703</v>
      </c>
      <c r="C451" s="7">
        <v>2020</v>
      </c>
      <c r="D451" s="7" t="s">
        <v>1867</v>
      </c>
      <c r="E451" s="7" t="s">
        <v>1875</v>
      </c>
      <c r="F451" s="7" t="s">
        <v>2942</v>
      </c>
      <c r="G451" s="7" t="s">
        <v>1871</v>
      </c>
      <c r="H451" s="7">
        <v>12345680</v>
      </c>
      <c r="I451" s="7">
        <v>1</v>
      </c>
      <c r="J451" s="7" t="s">
        <v>2947</v>
      </c>
      <c r="K451" s="8">
        <v>15264000</v>
      </c>
      <c r="L451" s="7" t="s">
        <v>1997</v>
      </c>
      <c r="M451" s="7" t="s">
        <v>2439</v>
      </c>
      <c r="N451" s="7" t="s">
        <v>2903</v>
      </c>
      <c r="O451" s="7"/>
      <c r="P451" s="13" t="s">
        <v>2948</v>
      </c>
    </row>
    <row r="452" spans="1:16" ht="30" x14ac:dyDescent="0.25">
      <c r="A452" s="7" t="s">
        <v>1883</v>
      </c>
      <c r="B452" s="7" t="str">
        <f>"0704"</f>
        <v>0704</v>
      </c>
      <c r="C452" s="7">
        <v>2020</v>
      </c>
      <c r="D452" s="7" t="s">
        <v>1867</v>
      </c>
      <c r="E452" s="7" t="s">
        <v>1868</v>
      </c>
      <c r="F452" s="7" t="s">
        <v>2949</v>
      </c>
      <c r="G452" s="7" t="s">
        <v>1871</v>
      </c>
      <c r="H452" s="7">
        <v>59679109</v>
      </c>
      <c r="I452" s="7">
        <v>3</v>
      </c>
      <c r="J452" s="7" t="s">
        <v>1965</v>
      </c>
      <c r="K452" s="8">
        <v>27515904</v>
      </c>
      <c r="L452" s="7" t="s">
        <v>1997</v>
      </c>
      <c r="M452" s="7" t="s">
        <v>2421</v>
      </c>
      <c r="N452" s="7" t="s">
        <v>2903</v>
      </c>
      <c r="O452" s="7"/>
      <c r="P452" s="13" t="s">
        <v>2950</v>
      </c>
    </row>
    <row r="453" spans="1:16" ht="30" x14ac:dyDescent="0.25">
      <c r="A453" s="7" t="s">
        <v>1883</v>
      </c>
      <c r="B453" s="7" t="str">
        <f>"0709"</f>
        <v>0709</v>
      </c>
      <c r="C453" s="7">
        <v>2020</v>
      </c>
      <c r="D453" s="7" t="s">
        <v>1867</v>
      </c>
      <c r="E453" s="7" t="s">
        <v>1875</v>
      </c>
      <c r="F453" s="7" t="s">
        <v>2954</v>
      </c>
      <c r="G453" s="7" t="s">
        <v>1871</v>
      </c>
      <c r="H453" s="7">
        <v>1085273531</v>
      </c>
      <c r="I453" s="7">
        <v>0</v>
      </c>
      <c r="J453" s="7" t="s">
        <v>2955</v>
      </c>
      <c r="K453" s="8">
        <v>17808000</v>
      </c>
      <c r="L453" s="7" t="s">
        <v>1997</v>
      </c>
      <c r="M453" s="7" t="s">
        <v>2306</v>
      </c>
      <c r="N453" s="7" t="s">
        <v>2903</v>
      </c>
      <c r="O453" s="7"/>
      <c r="P453" s="13" t="s">
        <v>2956</v>
      </c>
    </row>
    <row r="454" spans="1:16" ht="30" x14ac:dyDescent="0.25">
      <c r="A454" s="7" t="s">
        <v>1883</v>
      </c>
      <c r="B454" s="7" t="str">
        <f>"0712"</f>
        <v>0712</v>
      </c>
      <c r="C454" s="7">
        <v>2020</v>
      </c>
      <c r="D454" s="7" t="s">
        <v>1867</v>
      </c>
      <c r="E454" s="7" t="s">
        <v>1868</v>
      </c>
      <c r="F454" s="7" t="s">
        <v>2957</v>
      </c>
      <c r="G454" s="7" t="s">
        <v>1871</v>
      </c>
      <c r="H454" s="7">
        <v>1085302495</v>
      </c>
      <c r="I454" s="7">
        <v>9</v>
      </c>
      <c r="J454" s="7" t="s">
        <v>2958</v>
      </c>
      <c r="K454" s="8">
        <v>22048000</v>
      </c>
      <c r="L454" s="7" t="s">
        <v>1997</v>
      </c>
      <c r="M454" s="7" t="s">
        <v>2318</v>
      </c>
      <c r="N454" s="7" t="s">
        <v>2903</v>
      </c>
      <c r="O454" s="7"/>
      <c r="P454" s="13" t="s">
        <v>2959</v>
      </c>
    </row>
    <row r="455" spans="1:16" ht="30" x14ac:dyDescent="0.25">
      <c r="A455" s="7" t="s">
        <v>1883</v>
      </c>
      <c r="B455" s="7" t="str">
        <f>"0717"</f>
        <v>0717</v>
      </c>
      <c r="C455" s="7">
        <v>2020</v>
      </c>
      <c r="D455" s="7" t="s">
        <v>1867</v>
      </c>
      <c r="E455" s="7" t="s">
        <v>1875</v>
      </c>
      <c r="F455" s="7" t="s">
        <v>2966</v>
      </c>
      <c r="G455" s="7" t="s">
        <v>1871</v>
      </c>
      <c r="H455" s="7">
        <v>30739950</v>
      </c>
      <c r="I455" s="7">
        <v>4</v>
      </c>
      <c r="J455" s="7" t="s">
        <v>2967</v>
      </c>
      <c r="K455" s="8">
        <v>15264000</v>
      </c>
      <c r="L455" s="7" t="s">
        <v>1997</v>
      </c>
      <c r="M455" s="7" t="s">
        <v>2246</v>
      </c>
      <c r="N455" s="7" t="s">
        <v>2903</v>
      </c>
      <c r="O455" s="7"/>
      <c r="P455" s="13" t="s">
        <v>2968</v>
      </c>
    </row>
    <row r="456" spans="1:16" ht="30" x14ac:dyDescent="0.25">
      <c r="A456" s="7" t="s">
        <v>1883</v>
      </c>
      <c r="B456" s="7" t="str">
        <f>"1016"</f>
        <v>1016</v>
      </c>
      <c r="C456" s="7">
        <v>2020</v>
      </c>
      <c r="D456" s="7" t="s">
        <v>1867</v>
      </c>
      <c r="E456" s="7" t="s">
        <v>1868</v>
      </c>
      <c r="F456" s="7" t="s">
        <v>3468</v>
      </c>
      <c r="G456" s="7" t="s">
        <v>1871</v>
      </c>
      <c r="H456" s="7">
        <v>59818886</v>
      </c>
      <c r="I456" s="7">
        <v>5</v>
      </c>
      <c r="J456" s="7" t="s">
        <v>3469</v>
      </c>
      <c r="K456" s="8">
        <v>27576416</v>
      </c>
      <c r="L456" s="7" t="s">
        <v>2239</v>
      </c>
      <c r="M456" s="7" t="s">
        <v>2331</v>
      </c>
      <c r="N456" s="7" t="s">
        <v>2903</v>
      </c>
      <c r="O456" s="7"/>
      <c r="P456" s="13" t="s">
        <v>3470</v>
      </c>
    </row>
    <row r="457" spans="1:16" ht="30" x14ac:dyDescent="0.25">
      <c r="A457" s="7" t="s">
        <v>1883</v>
      </c>
      <c r="B457" s="7" t="str">
        <f>"1024"</f>
        <v>1024</v>
      </c>
      <c r="C457" s="7">
        <v>2020</v>
      </c>
      <c r="D457" s="7" t="s">
        <v>1867</v>
      </c>
      <c r="E457" s="7" t="s">
        <v>1875</v>
      </c>
      <c r="F457" s="7" t="s">
        <v>3486</v>
      </c>
      <c r="G457" s="7" t="s">
        <v>1871</v>
      </c>
      <c r="H457" s="7">
        <v>1084222224</v>
      </c>
      <c r="I457" s="7">
        <v>2</v>
      </c>
      <c r="J457" s="7" t="s">
        <v>3487</v>
      </c>
      <c r="K457" s="8">
        <v>16324000</v>
      </c>
      <c r="L457" s="7" t="s">
        <v>2239</v>
      </c>
      <c r="M457" s="7" t="s">
        <v>3305</v>
      </c>
      <c r="N457" s="7" t="s">
        <v>2903</v>
      </c>
      <c r="O457" s="7"/>
      <c r="P457" s="13" t="s">
        <v>3488</v>
      </c>
    </row>
    <row r="458" spans="1:16" ht="30" x14ac:dyDescent="0.25">
      <c r="A458" s="7" t="s">
        <v>1883</v>
      </c>
      <c r="B458" s="7" t="str">
        <f>"1025"</f>
        <v>1025</v>
      </c>
      <c r="C458" s="7">
        <v>2020</v>
      </c>
      <c r="D458" s="7" t="s">
        <v>1867</v>
      </c>
      <c r="E458" s="7" t="s">
        <v>1875</v>
      </c>
      <c r="F458" s="7" t="s">
        <v>3489</v>
      </c>
      <c r="G458" s="7" t="s">
        <v>1871</v>
      </c>
      <c r="H458" s="7">
        <v>1085312438</v>
      </c>
      <c r="I458" s="7">
        <v>1</v>
      </c>
      <c r="J458" s="7" t="s">
        <v>3490</v>
      </c>
      <c r="K458" s="8">
        <v>15582000</v>
      </c>
      <c r="L458" s="7" t="s">
        <v>2239</v>
      </c>
      <c r="M458" s="7" t="s">
        <v>3106</v>
      </c>
      <c r="N458" s="7" t="s">
        <v>2903</v>
      </c>
      <c r="O458" s="7"/>
      <c r="P458" s="13" t="s">
        <v>3491</v>
      </c>
    </row>
    <row r="459" spans="1:16" ht="30" x14ac:dyDescent="0.25">
      <c r="A459" s="7" t="s">
        <v>1883</v>
      </c>
      <c r="B459" s="7" t="str">
        <f>"1026"</f>
        <v>1026</v>
      </c>
      <c r="C459" s="7">
        <v>2020</v>
      </c>
      <c r="D459" s="7" t="s">
        <v>1867</v>
      </c>
      <c r="E459" s="7" t="s">
        <v>1875</v>
      </c>
      <c r="F459" s="7" t="s">
        <v>2735</v>
      </c>
      <c r="G459" s="7" t="s">
        <v>1871</v>
      </c>
      <c r="H459" s="7">
        <v>87062921</v>
      </c>
      <c r="I459" s="7">
        <v>0</v>
      </c>
      <c r="J459" s="7" t="s">
        <v>3492</v>
      </c>
      <c r="K459" s="8">
        <v>13356000</v>
      </c>
      <c r="L459" s="7" t="s">
        <v>2239</v>
      </c>
      <c r="M459" s="7" t="s">
        <v>2321</v>
      </c>
      <c r="N459" s="7" t="s">
        <v>2903</v>
      </c>
      <c r="O459" s="7"/>
      <c r="P459" s="13" t="s">
        <v>3493</v>
      </c>
    </row>
    <row r="460" spans="1:16" ht="30" x14ac:dyDescent="0.25">
      <c r="A460" s="7" t="s">
        <v>1883</v>
      </c>
      <c r="B460" s="7" t="str">
        <f>"1027"</f>
        <v>1027</v>
      </c>
      <c r="C460" s="7">
        <v>2020</v>
      </c>
      <c r="D460" s="7" t="s">
        <v>1867</v>
      </c>
      <c r="E460" s="7" t="s">
        <v>1875</v>
      </c>
      <c r="F460" s="7" t="s">
        <v>1947</v>
      </c>
      <c r="G460" s="7" t="s">
        <v>1871</v>
      </c>
      <c r="H460" s="7">
        <v>12990781</v>
      </c>
      <c r="I460" s="7">
        <v>4</v>
      </c>
      <c r="J460" s="7" t="s">
        <v>3494</v>
      </c>
      <c r="K460" s="8">
        <v>13356000</v>
      </c>
      <c r="L460" s="7" t="s">
        <v>2239</v>
      </c>
      <c r="M460" s="7" t="s">
        <v>3344</v>
      </c>
      <c r="N460" s="7" t="s">
        <v>2903</v>
      </c>
      <c r="O460" s="7"/>
      <c r="P460" s="13" t="s">
        <v>3495</v>
      </c>
    </row>
    <row r="461" spans="1:16" ht="30" x14ac:dyDescent="0.25">
      <c r="A461" s="7" t="s">
        <v>1883</v>
      </c>
      <c r="B461" s="7" t="str">
        <f>"1029"</f>
        <v>1029</v>
      </c>
      <c r="C461" s="7">
        <v>2020</v>
      </c>
      <c r="D461" s="7" t="s">
        <v>1867</v>
      </c>
      <c r="E461" s="7" t="s">
        <v>1875</v>
      </c>
      <c r="F461" s="7" t="s">
        <v>3498</v>
      </c>
      <c r="G461" s="7" t="s">
        <v>1871</v>
      </c>
      <c r="H461" s="7">
        <v>12985919</v>
      </c>
      <c r="I461" s="7">
        <v>3</v>
      </c>
      <c r="J461" s="7" t="s">
        <v>3499</v>
      </c>
      <c r="K461" s="8">
        <v>13356000</v>
      </c>
      <c r="L461" s="7" t="s">
        <v>2239</v>
      </c>
      <c r="M461" s="7" t="s">
        <v>2439</v>
      </c>
      <c r="N461" s="7" t="s">
        <v>2903</v>
      </c>
      <c r="O461" s="7"/>
      <c r="P461" s="13" t="s">
        <v>3500</v>
      </c>
    </row>
    <row r="462" spans="1:16" ht="30" x14ac:dyDescent="0.25">
      <c r="A462" s="7" t="s">
        <v>1883</v>
      </c>
      <c r="B462" s="7" t="str">
        <f>"1031"</f>
        <v>1031</v>
      </c>
      <c r="C462" s="7">
        <v>2020</v>
      </c>
      <c r="D462" s="7" t="s">
        <v>1867</v>
      </c>
      <c r="E462" s="7" t="s">
        <v>1875</v>
      </c>
      <c r="F462" s="7" t="s">
        <v>3504</v>
      </c>
      <c r="G462" s="7" t="s">
        <v>1871</v>
      </c>
      <c r="H462" s="7">
        <v>27090376</v>
      </c>
      <c r="I462" s="7">
        <v>7</v>
      </c>
      <c r="J462" s="7" t="s">
        <v>3505</v>
      </c>
      <c r="K462" s="8">
        <v>13356000</v>
      </c>
      <c r="L462" s="7" t="s">
        <v>2239</v>
      </c>
      <c r="M462" s="7" t="s">
        <v>3214</v>
      </c>
      <c r="N462" s="7" t="s">
        <v>2903</v>
      </c>
      <c r="O462" s="7"/>
      <c r="P462" s="13" t="s">
        <v>3506</v>
      </c>
    </row>
    <row r="463" spans="1:16" ht="30" x14ac:dyDescent="0.25">
      <c r="A463" s="7" t="s">
        <v>1883</v>
      </c>
      <c r="B463" s="7" t="str">
        <f>"1032"</f>
        <v>1032</v>
      </c>
      <c r="C463" s="7">
        <v>2020</v>
      </c>
      <c r="D463" s="7" t="s">
        <v>1867</v>
      </c>
      <c r="E463" s="7" t="s">
        <v>1875</v>
      </c>
      <c r="F463" s="7" t="s">
        <v>3507</v>
      </c>
      <c r="G463" s="7" t="s">
        <v>1871</v>
      </c>
      <c r="H463" s="7">
        <v>30737977</v>
      </c>
      <c r="I463" s="7">
        <v>4</v>
      </c>
      <c r="J463" s="7" t="s">
        <v>3508</v>
      </c>
      <c r="K463" s="8">
        <v>13356000</v>
      </c>
      <c r="L463" s="7" t="s">
        <v>2239</v>
      </c>
      <c r="M463" s="7" t="s">
        <v>3509</v>
      </c>
      <c r="N463" s="7" t="s">
        <v>2903</v>
      </c>
      <c r="O463" s="7"/>
      <c r="P463" s="13" t="s">
        <v>3510</v>
      </c>
    </row>
    <row r="464" spans="1:16" ht="30" x14ac:dyDescent="0.25">
      <c r="A464" s="7" t="s">
        <v>1883</v>
      </c>
      <c r="B464" s="7" t="str">
        <f>"1033"</f>
        <v>1033</v>
      </c>
      <c r="C464" s="7">
        <v>2020</v>
      </c>
      <c r="D464" s="7" t="s">
        <v>1867</v>
      </c>
      <c r="E464" s="7" t="s">
        <v>1875</v>
      </c>
      <c r="F464" s="7" t="s">
        <v>3511</v>
      </c>
      <c r="G464" s="7" t="s">
        <v>1871</v>
      </c>
      <c r="H464" s="7">
        <v>1085920310</v>
      </c>
      <c r="I464" s="7">
        <v>6</v>
      </c>
      <c r="J464" s="7" t="s">
        <v>3512</v>
      </c>
      <c r="K464" s="8">
        <v>13356000</v>
      </c>
      <c r="L464" s="7" t="s">
        <v>2239</v>
      </c>
      <c r="M464" s="7" t="s">
        <v>3362</v>
      </c>
      <c r="N464" s="7" t="s">
        <v>2903</v>
      </c>
      <c r="O464" s="7"/>
      <c r="P464" s="13" t="s">
        <v>3513</v>
      </c>
    </row>
    <row r="465" spans="1:16" ht="30" x14ac:dyDescent="0.25">
      <c r="A465" s="7" t="s">
        <v>1883</v>
      </c>
      <c r="B465" s="7" t="str">
        <f>"1034"</f>
        <v>1034</v>
      </c>
      <c r="C465" s="7">
        <v>2020</v>
      </c>
      <c r="D465" s="7" t="s">
        <v>1867</v>
      </c>
      <c r="E465" s="7" t="s">
        <v>1875</v>
      </c>
      <c r="F465" s="7" t="s">
        <v>3514</v>
      </c>
      <c r="G465" s="7" t="s">
        <v>1871</v>
      </c>
      <c r="H465" s="7">
        <v>59310295</v>
      </c>
      <c r="I465" s="7">
        <v>0</v>
      </c>
      <c r="J465" s="7" t="s">
        <v>3515</v>
      </c>
      <c r="K465" s="8">
        <v>18550000</v>
      </c>
      <c r="L465" s="7" t="s">
        <v>2239</v>
      </c>
      <c r="M465" s="7" t="s">
        <v>2439</v>
      </c>
      <c r="N465" s="7" t="s">
        <v>2903</v>
      </c>
      <c r="O465" s="7"/>
      <c r="P465" s="13" t="s">
        <v>3516</v>
      </c>
    </row>
    <row r="466" spans="1:16" ht="30" x14ac:dyDescent="0.25">
      <c r="A466" s="7" t="s">
        <v>1883</v>
      </c>
      <c r="B466" s="7" t="str">
        <f>"1100"</f>
        <v>1100</v>
      </c>
      <c r="C466" s="7">
        <v>2020</v>
      </c>
      <c r="D466" s="7" t="s">
        <v>1867</v>
      </c>
      <c r="E466" s="7" t="s">
        <v>1875</v>
      </c>
      <c r="F466" s="7" t="s">
        <v>3568</v>
      </c>
      <c r="G466" s="7" t="s">
        <v>1871</v>
      </c>
      <c r="H466" s="7">
        <v>1085281359</v>
      </c>
      <c r="I466" s="7">
        <v>3</v>
      </c>
      <c r="J466" s="7" t="s">
        <v>3569</v>
      </c>
      <c r="K466" s="8">
        <v>13356000</v>
      </c>
      <c r="L466" s="7" t="s">
        <v>2239</v>
      </c>
      <c r="M466" s="7" t="s">
        <v>2439</v>
      </c>
      <c r="N466" s="7" t="s">
        <v>2903</v>
      </c>
      <c r="O466" s="7"/>
      <c r="P466" s="13" t="s">
        <v>3570</v>
      </c>
    </row>
    <row r="467" spans="1:16" ht="30" x14ac:dyDescent="0.25">
      <c r="A467" s="7" t="s">
        <v>1883</v>
      </c>
      <c r="B467" s="7" t="str">
        <f>"1017"</f>
        <v>1017</v>
      </c>
      <c r="C467" s="7">
        <v>2020</v>
      </c>
      <c r="D467" s="7" t="s">
        <v>1867</v>
      </c>
      <c r="E467" s="7" t="s">
        <v>1875</v>
      </c>
      <c r="F467" s="7" t="s">
        <v>3471</v>
      </c>
      <c r="G467" s="7" t="s">
        <v>1871</v>
      </c>
      <c r="H467" s="7">
        <v>27488280</v>
      </c>
      <c r="I467" s="7">
        <v>4</v>
      </c>
      <c r="J467" s="7" t="s">
        <v>3472</v>
      </c>
      <c r="K467" s="8">
        <v>9646000</v>
      </c>
      <c r="L467" s="7" t="s">
        <v>2239</v>
      </c>
      <c r="M467" s="7" t="s">
        <v>3392</v>
      </c>
      <c r="N467" s="7" t="s">
        <v>2911</v>
      </c>
      <c r="O467" s="7"/>
      <c r="P467" s="13" t="s">
        <v>3473</v>
      </c>
    </row>
    <row r="468" spans="1:16" ht="30" x14ac:dyDescent="0.25">
      <c r="A468" s="7" t="s">
        <v>1883</v>
      </c>
      <c r="B468" s="7" t="str">
        <f>"1030"</f>
        <v>1030</v>
      </c>
      <c r="C468" s="7">
        <v>2020</v>
      </c>
      <c r="D468" s="7" t="s">
        <v>1867</v>
      </c>
      <c r="E468" s="7" t="s">
        <v>1989</v>
      </c>
      <c r="F468" s="7" t="s">
        <v>3501</v>
      </c>
      <c r="G468" s="7" t="s">
        <v>1871</v>
      </c>
      <c r="H468" s="7">
        <v>1085307397</v>
      </c>
      <c r="I468" s="7">
        <v>8</v>
      </c>
      <c r="J468" s="7" t="s">
        <v>3502</v>
      </c>
      <c r="K468" s="8">
        <v>14098000</v>
      </c>
      <c r="L468" s="7" t="s">
        <v>2239</v>
      </c>
      <c r="M468" s="7" t="s">
        <v>3305</v>
      </c>
      <c r="N468" s="7" t="s">
        <v>2911</v>
      </c>
      <c r="O468" s="7"/>
      <c r="P468" s="13" t="s">
        <v>3503</v>
      </c>
    </row>
    <row r="469" spans="1:16" ht="30" x14ac:dyDescent="0.25">
      <c r="A469" s="7" t="s">
        <v>1883</v>
      </c>
      <c r="B469" s="7" t="str">
        <f>"0789"</f>
        <v>0789</v>
      </c>
      <c r="C469" s="7">
        <v>2020</v>
      </c>
      <c r="D469" s="7" t="s">
        <v>1867</v>
      </c>
      <c r="E469" s="7" t="s">
        <v>1868</v>
      </c>
      <c r="F469" s="7" t="s">
        <v>3092</v>
      </c>
      <c r="G469" s="7" t="s">
        <v>1871</v>
      </c>
      <c r="H469" s="7">
        <v>13071792</v>
      </c>
      <c r="I469" s="7"/>
      <c r="J469" s="7" t="s">
        <v>3093</v>
      </c>
      <c r="K469" s="8">
        <v>22048000</v>
      </c>
      <c r="L469" s="7" t="s">
        <v>1982</v>
      </c>
      <c r="M469" s="7" t="s">
        <v>2246</v>
      </c>
      <c r="N469" s="7" t="s">
        <v>2822</v>
      </c>
      <c r="O469" s="7"/>
      <c r="P469" s="13" t="s">
        <v>3094</v>
      </c>
    </row>
    <row r="470" spans="1:16" ht="30" x14ac:dyDescent="0.25">
      <c r="A470" s="7" t="s">
        <v>1883</v>
      </c>
      <c r="B470" s="7" t="str">
        <f>"1124"</f>
        <v>1124</v>
      </c>
      <c r="C470" s="7">
        <v>2020</v>
      </c>
      <c r="D470" s="7" t="s">
        <v>1867</v>
      </c>
      <c r="E470" s="7" t="s">
        <v>1875</v>
      </c>
      <c r="F470" s="7" t="s">
        <v>3611</v>
      </c>
      <c r="G470" s="7" t="s">
        <v>1871</v>
      </c>
      <c r="H470" s="7">
        <v>1233188498</v>
      </c>
      <c r="I470" s="7">
        <v>8</v>
      </c>
      <c r="J470" s="7" t="s">
        <v>3612</v>
      </c>
      <c r="K470" s="8">
        <v>16856000</v>
      </c>
      <c r="L470" s="7" t="s">
        <v>2417</v>
      </c>
      <c r="M470" s="7" t="s">
        <v>2455</v>
      </c>
      <c r="N470" s="7" t="s">
        <v>2822</v>
      </c>
      <c r="O470" s="7"/>
      <c r="P470" s="13" t="s">
        <v>3613</v>
      </c>
    </row>
    <row r="471" spans="1:16" ht="30" x14ac:dyDescent="0.25">
      <c r="A471" s="7" t="s">
        <v>1883</v>
      </c>
      <c r="B471" s="7" t="str">
        <f>"0767"</f>
        <v>0767</v>
      </c>
      <c r="C471" s="7">
        <v>2020</v>
      </c>
      <c r="D471" s="7" t="s">
        <v>1867</v>
      </c>
      <c r="E471" s="7" t="s">
        <v>1875</v>
      </c>
      <c r="F471" s="7" t="s">
        <v>3046</v>
      </c>
      <c r="G471" s="7" t="s">
        <v>1871</v>
      </c>
      <c r="H471" s="7">
        <v>36931377</v>
      </c>
      <c r="I471" s="7">
        <v>7</v>
      </c>
      <c r="J471" s="7" t="s">
        <v>3047</v>
      </c>
      <c r="K471" s="8">
        <v>9794400</v>
      </c>
      <c r="L471" s="7" t="s">
        <v>1982</v>
      </c>
      <c r="M471" s="7" t="s">
        <v>2107</v>
      </c>
      <c r="N471" s="7" t="s">
        <v>2696</v>
      </c>
      <c r="O471" s="7"/>
      <c r="P471" s="13" t="s">
        <v>3048</v>
      </c>
    </row>
    <row r="472" spans="1:16" ht="30" x14ac:dyDescent="0.25">
      <c r="A472" s="7" t="s">
        <v>1883</v>
      </c>
      <c r="B472" s="7" t="str">
        <f>"1123"</f>
        <v>1123</v>
      </c>
      <c r="C472" s="7">
        <v>2020</v>
      </c>
      <c r="D472" s="7" t="s">
        <v>1867</v>
      </c>
      <c r="E472" s="7" t="s">
        <v>1868</v>
      </c>
      <c r="F472" s="7" t="s">
        <v>3609</v>
      </c>
      <c r="G472" s="7" t="s">
        <v>1871</v>
      </c>
      <c r="H472" s="7">
        <v>5211841</v>
      </c>
      <c r="I472" s="7">
        <v>7</v>
      </c>
      <c r="J472" s="7" t="s">
        <v>1956</v>
      </c>
      <c r="K472" s="8">
        <v>14098000</v>
      </c>
      <c r="L472" s="7" t="s">
        <v>2417</v>
      </c>
      <c r="M472" s="7" t="s">
        <v>3034</v>
      </c>
      <c r="N472" s="7" t="s">
        <v>2696</v>
      </c>
      <c r="O472" s="7"/>
      <c r="P472" s="13" t="s">
        <v>3610</v>
      </c>
    </row>
    <row r="473" spans="1:16" ht="30" x14ac:dyDescent="0.25">
      <c r="A473" s="7" t="s">
        <v>1883</v>
      </c>
      <c r="B473" s="7" t="str">
        <f>"0826"</f>
        <v>0826</v>
      </c>
      <c r="C473" s="7">
        <v>2020</v>
      </c>
      <c r="D473" s="7" t="s">
        <v>1867</v>
      </c>
      <c r="E473" s="7" t="s">
        <v>1989</v>
      </c>
      <c r="F473" s="7" t="s">
        <v>3143</v>
      </c>
      <c r="G473" s="7" t="s">
        <v>1871</v>
      </c>
      <c r="H473" s="7">
        <v>27144599</v>
      </c>
      <c r="I473" s="7">
        <v>6</v>
      </c>
      <c r="J473" s="7" t="s">
        <v>3144</v>
      </c>
      <c r="K473" s="8">
        <v>27515904</v>
      </c>
      <c r="L473" s="7" t="s">
        <v>2035</v>
      </c>
      <c r="M473" s="7" t="s">
        <v>2306</v>
      </c>
      <c r="N473" s="7" t="s">
        <v>3132</v>
      </c>
      <c r="O473" s="7"/>
      <c r="P473" s="13" t="s">
        <v>3145</v>
      </c>
    </row>
    <row r="474" spans="1:16" x14ac:dyDescent="0.25">
      <c r="A474" s="7" t="s">
        <v>1883</v>
      </c>
      <c r="B474" s="7" t="str">
        <f>"1220"</f>
        <v>1220</v>
      </c>
      <c r="C474" s="7">
        <v>2020</v>
      </c>
      <c r="D474" s="7" t="s">
        <v>1867</v>
      </c>
      <c r="E474" s="7" t="s">
        <v>1868</v>
      </c>
      <c r="F474" s="7" t="s">
        <v>3700</v>
      </c>
      <c r="G474" s="7" t="s">
        <v>1871</v>
      </c>
      <c r="H474" s="7">
        <v>98385030</v>
      </c>
      <c r="I474" s="7">
        <v>1</v>
      </c>
      <c r="J474" s="7" t="s">
        <v>3701</v>
      </c>
      <c r="K474" s="8">
        <v>35000000</v>
      </c>
      <c r="L474" s="7" t="s">
        <v>2204</v>
      </c>
      <c r="M474" s="7" t="s">
        <v>3214</v>
      </c>
      <c r="N474" s="7" t="s">
        <v>3702</v>
      </c>
      <c r="O474" s="7"/>
      <c r="P474" s="13" t="s">
        <v>1993</v>
      </c>
    </row>
    <row r="475" spans="1:16" ht="30" x14ac:dyDescent="0.25">
      <c r="A475" s="7" t="s">
        <v>1883</v>
      </c>
      <c r="B475" s="7" t="str">
        <f>"1241"</f>
        <v>1241</v>
      </c>
      <c r="C475" s="7">
        <v>2020</v>
      </c>
      <c r="D475" s="7" t="s">
        <v>1867</v>
      </c>
      <c r="E475" s="7" t="s">
        <v>1875</v>
      </c>
      <c r="F475" s="7" t="s">
        <v>3718</v>
      </c>
      <c r="G475" s="7" t="s">
        <v>1871</v>
      </c>
      <c r="H475" s="7">
        <v>1085251014</v>
      </c>
      <c r="I475" s="7">
        <v>1</v>
      </c>
      <c r="J475" s="7" t="s">
        <v>3719</v>
      </c>
      <c r="K475" s="8">
        <v>18550000</v>
      </c>
      <c r="L475" s="7" t="s">
        <v>2350</v>
      </c>
      <c r="M475" s="7" t="s">
        <v>3173</v>
      </c>
      <c r="N475" s="7" t="s">
        <v>3188</v>
      </c>
      <c r="O475" s="7"/>
      <c r="P475" s="13" t="s">
        <v>3720</v>
      </c>
    </row>
    <row r="476" spans="1:16" ht="30" x14ac:dyDescent="0.25">
      <c r="A476" s="7" t="s">
        <v>1883</v>
      </c>
      <c r="B476" s="7" t="str">
        <f>"0866"</f>
        <v>0866</v>
      </c>
      <c r="C476" s="7">
        <v>2020</v>
      </c>
      <c r="D476" s="7" t="s">
        <v>1867</v>
      </c>
      <c r="E476" s="7" t="s">
        <v>1875</v>
      </c>
      <c r="F476" s="7" t="s">
        <v>2966</v>
      </c>
      <c r="G476" s="7" t="s">
        <v>1871</v>
      </c>
      <c r="H476" s="7">
        <v>1085302225</v>
      </c>
      <c r="I476" s="7">
        <v>7</v>
      </c>
      <c r="J476" s="7" t="s">
        <v>3229</v>
      </c>
      <c r="K476" s="8">
        <v>14119200</v>
      </c>
      <c r="L476" s="7" t="s">
        <v>2022</v>
      </c>
      <c r="M476" s="7" t="s">
        <v>2318</v>
      </c>
      <c r="N476" s="7" t="s">
        <v>3210</v>
      </c>
      <c r="O476" s="7"/>
      <c r="P476" s="13" t="s">
        <v>3230</v>
      </c>
    </row>
    <row r="477" spans="1:16" ht="30" x14ac:dyDescent="0.25">
      <c r="A477" s="7" t="s">
        <v>1883</v>
      </c>
      <c r="B477" s="7" t="str">
        <f>"1246"</f>
        <v>1246</v>
      </c>
      <c r="C477" s="7">
        <v>2020</v>
      </c>
      <c r="D477" s="7" t="s">
        <v>1867</v>
      </c>
      <c r="E477" s="7" t="s">
        <v>1868</v>
      </c>
      <c r="F477" s="7" t="s">
        <v>3724</v>
      </c>
      <c r="G477" s="7" t="s">
        <v>1871</v>
      </c>
      <c r="H477" s="7">
        <v>1085292907</v>
      </c>
      <c r="I477" s="7">
        <v>7</v>
      </c>
      <c r="J477" s="7" t="s">
        <v>3725</v>
      </c>
      <c r="K477" s="8">
        <v>24076416</v>
      </c>
      <c r="L477" s="7" t="s">
        <v>2113</v>
      </c>
      <c r="M477" s="7" t="s">
        <v>3392</v>
      </c>
      <c r="N477" s="7" t="s">
        <v>3210</v>
      </c>
      <c r="O477" s="7"/>
      <c r="P477" s="13" t="s">
        <v>3726</v>
      </c>
    </row>
    <row r="478" spans="1:16" ht="30" x14ac:dyDescent="0.25">
      <c r="A478" s="7" t="s">
        <v>1883</v>
      </c>
      <c r="B478" s="7" t="str">
        <f>"1254"</f>
        <v>1254</v>
      </c>
      <c r="C478" s="7">
        <v>2020</v>
      </c>
      <c r="D478" s="7" t="s">
        <v>1867</v>
      </c>
      <c r="E478" s="7" t="s">
        <v>1875</v>
      </c>
      <c r="F478" s="7" t="s">
        <v>3731</v>
      </c>
      <c r="G478" s="7" t="s">
        <v>1871</v>
      </c>
      <c r="H478" s="7">
        <v>12753231</v>
      </c>
      <c r="I478" s="7">
        <v>1</v>
      </c>
      <c r="J478" s="7" t="s">
        <v>3732</v>
      </c>
      <c r="K478" s="8">
        <v>13356000</v>
      </c>
      <c r="L478" s="7" t="s">
        <v>2331</v>
      </c>
      <c r="M478" s="7" t="s">
        <v>3152</v>
      </c>
      <c r="N478" s="7" t="s">
        <v>3224</v>
      </c>
      <c r="O478" s="7"/>
      <c r="P478" s="13" t="s">
        <v>3733</v>
      </c>
    </row>
    <row r="479" spans="1:16" ht="30" x14ac:dyDescent="0.25">
      <c r="A479" s="7" t="s">
        <v>1883</v>
      </c>
      <c r="B479" s="7" t="str">
        <f>"0738"</f>
        <v>0738</v>
      </c>
      <c r="C479" s="7">
        <v>2020</v>
      </c>
      <c r="D479" s="7" t="s">
        <v>1867</v>
      </c>
      <c r="E479" s="7" t="s">
        <v>1875</v>
      </c>
      <c r="F479" s="7" t="s">
        <v>2992</v>
      </c>
      <c r="G479" s="7" t="s">
        <v>1871</v>
      </c>
      <c r="H479" s="7">
        <v>1085321276</v>
      </c>
      <c r="I479" s="7">
        <v>3</v>
      </c>
      <c r="J479" s="7" t="s">
        <v>2993</v>
      </c>
      <c r="K479" s="8">
        <v>15264000</v>
      </c>
      <c r="L479" s="7" t="s">
        <v>1997</v>
      </c>
      <c r="M479" s="7" t="s">
        <v>2350</v>
      </c>
      <c r="N479" s="7" t="s">
        <v>2994</v>
      </c>
      <c r="O479" s="7"/>
      <c r="P479" s="13" t="s">
        <v>2995</v>
      </c>
    </row>
    <row r="480" spans="1:16" ht="45" x14ac:dyDescent="0.25">
      <c r="A480" s="7" t="s">
        <v>1883</v>
      </c>
      <c r="B480" s="7" t="str">
        <f>"1454"</f>
        <v>1454</v>
      </c>
      <c r="C480" s="7">
        <v>2020</v>
      </c>
      <c r="D480" s="7" t="s">
        <v>1867</v>
      </c>
      <c r="E480" s="7" t="s">
        <v>1875</v>
      </c>
      <c r="F480" s="7" t="s">
        <v>3945</v>
      </c>
      <c r="G480" s="7" t="s">
        <v>1871</v>
      </c>
      <c r="H480" s="7">
        <v>1085310908</v>
      </c>
      <c r="I480" s="7">
        <v>2</v>
      </c>
      <c r="J480" s="7" t="s">
        <v>2990</v>
      </c>
      <c r="K480" s="8">
        <v>10600000</v>
      </c>
      <c r="L480" s="7" t="s">
        <v>2067</v>
      </c>
      <c r="M480" s="7" t="s">
        <v>3907</v>
      </c>
      <c r="N480" s="7" t="s">
        <v>3778</v>
      </c>
      <c r="O480" s="7"/>
      <c r="P480" s="13" t="s">
        <v>3946</v>
      </c>
    </row>
    <row r="481" spans="1:16" ht="45" x14ac:dyDescent="0.25">
      <c r="A481" s="7" t="s">
        <v>1883</v>
      </c>
      <c r="B481" s="7" t="str">
        <f>"1459"</f>
        <v>1459</v>
      </c>
      <c r="C481" s="7">
        <v>2020</v>
      </c>
      <c r="D481" s="7" t="s">
        <v>1867</v>
      </c>
      <c r="E481" s="7" t="s">
        <v>1868</v>
      </c>
      <c r="F481" s="7" t="s">
        <v>3952</v>
      </c>
      <c r="G481" s="7" t="s">
        <v>1871</v>
      </c>
      <c r="H481" s="7">
        <v>1085290701</v>
      </c>
      <c r="I481" s="7">
        <v>8</v>
      </c>
      <c r="J481" s="7" t="s">
        <v>3289</v>
      </c>
      <c r="K481" s="8">
        <v>13757952</v>
      </c>
      <c r="L481" s="7" t="s">
        <v>2067</v>
      </c>
      <c r="M481" s="7" t="s">
        <v>3953</v>
      </c>
      <c r="N481" s="7" t="s">
        <v>3778</v>
      </c>
      <c r="O481" s="7"/>
      <c r="P481" s="13" t="s">
        <v>3954</v>
      </c>
    </row>
    <row r="482" spans="1:16" ht="45" x14ac:dyDescent="0.25">
      <c r="A482" s="7" t="s">
        <v>1883</v>
      </c>
      <c r="B482" s="7" t="str">
        <f>"1469"</f>
        <v>1469</v>
      </c>
      <c r="C482" s="7">
        <v>2020</v>
      </c>
      <c r="D482" s="7" t="s">
        <v>1867</v>
      </c>
      <c r="E482" s="7" t="s">
        <v>1868</v>
      </c>
      <c r="F482" s="7" t="s">
        <v>3971</v>
      </c>
      <c r="G482" s="7" t="s">
        <v>1871</v>
      </c>
      <c r="H482" s="7">
        <v>12748999</v>
      </c>
      <c r="I482" s="7">
        <v>4</v>
      </c>
      <c r="J482" s="7" t="s">
        <v>1938</v>
      </c>
      <c r="K482" s="8">
        <v>13757952</v>
      </c>
      <c r="L482" s="7" t="s">
        <v>2064</v>
      </c>
      <c r="M482" s="7" t="s">
        <v>3972</v>
      </c>
      <c r="N482" s="7" t="s">
        <v>3602</v>
      </c>
      <c r="O482" s="7"/>
      <c r="P482" s="13" t="s">
        <v>3973</v>
      </c>
    </row>
    <row r="483" spans="1:16" x14ac:dyDescent="0.25">
      <c r="A483" s="7" t="s">
        <v>1883</v>
      </c>
      <c r="B483" s="7" t="str">
        <f>"1472"</f>
        <v>1472</v>
      </c>
      <c r="C483" s="7">
        <v>2020</v>
      </c>
      <c r="D483" s="7" t="s">
        <v>1867</v>
      </c>
      <c r="E483" s="7" t="s">
        <v>1868</v>
      </c>
      <c r="F483" s="7" t="s">
        <v>3977</v>
      </c>
      <c r="G483" s="7" t="s">
        <v>1871</v>
      </c>
      <c r="H483" s="7">
        <v>98387755</v>
      </c>
      <c r="I483" s="7">
        <v>1</v>
      </c>
      <c r="J483" s="7" t="s">
        <v>1942</v>
      </c>
      <c r="K483" s="8">
        <v>13757952</v>
      </c>
      <c r="L483" s="7" t="s">
        <v>3822</v>
      </c>
      <c r="M483" s="7" t="s">
        <v>3953</v>
      </c>
      <c r="N483" s="7" t="s">
        <v>3978</v>
      </c>
      <c r="O483" s="7"/>
      <c r="P483" s="13" t="s">
        <v>1993</v>
      </c>
    </row>
    <row r="484" spans="1:16" x14ac:dyDescent="0.25">
      <c r="A484" s="7" t="s">
        <v>1883</v>
      </c>
      <c r="B484" s="7" t="str">
        <f>"1473"</f>
        <v>1473</v>
      </c>
      <c r="C484" s="7">
        <v>2020</v>
      </c>
      <c r="D484" s="7" t="s">
        <v>1867</v>
      </c>
      <c r="E484" s="7" t="s">
        <v>1868</v>
      </c>
      <c r="F484" s="7" t="s">
        <v>3979</v>
      </c>
      <c r="G484" s="7" t="s">
        <v>1871</v>
      </c>
      <c r="H484" s="7">
        <v>1085300779</v>
      </c>
      <c r="I484" s="7">
        <v>6</v>
      </c>
      <c r="J484" s="7" t="s">
        <v>1940</v>
      </c>
      <c r="K484" s="8">
        <v>13757952</v>
      </c>
      <c r="L484" s="7" t="s">
        <v>3822</v>
      </c>
      <c r="M484" s="7" t="s">
        <v>3378</v>
      </c>
      <c r="N484" s="7" t="s">
        <v>3978</v>
      </c>
      <c r="O484" s="7"/>
      <c r="P484" s="13" t="s">
        <v>1993</v>
      </c>
    </row>
    <row r="485" spans="1:16" ht="45" x14ac:dyDescent="0.25">
      <c r="A485" s="7" t="s">
        <v>1883</v>
      </c>
      <c r="B485" s="7" t="str">
        <f>"1354"</f>
        <v>1354</v>
      </c>
      <c r="C485" s="7">
        <v>2020</v>
      </c>
      <c r="D485" s="7" t="s">
        <v>1867</v>
      </c>
      <c r="E485" s="7" t="s">
        <v>1875</v>
      </c>
      <c r="F485" s="7" t="s">
        <v>3789</v>
      </c>
      <c r="G485" s="7" t="s">
        <v>1871</v>
      </c>
      <c r="H485" s="7">
        <v>98396293</v>
      </c>
      <c r="I485" s="7">
        <v>7</v>
      </c>
      <c r="J485" s="7" t="s">
        <v>3790</v>
      </c>
      <c r="K485" s="8">
        <v>18400000</v>
      </c>
      <c r="L485" s="7" t="s">
        <v>3765</v>
      </c>
      <c r="M485" s="7" t="s">
        <v>3045</v>
      </c>
      <c r="N485" s="7" t="s">
        <v>3791</v>
      </c>
      <c r="O485" s="7"/>
      <c r="P485" s="13" t="s">
        <v>3792</v>
      </c>
    </row>
    <row r="486" spans="1:16" ht="45" x14ac:dyDescent="0.25">
      <c r="A486" s="7" t="s">
        <v>1883</v>
      </c>
      <c r="B486" s="7" t="str">
        <f>"1357"</f>
        <v>1357</v>
      </c>
      <c r="C486" s="7">
        <v>2020</v>
      </c>
      <c r="D486" s="7" t="s">
        <v>1867</v>
      </c>
      <c r="E486" s="7" t="s">
        <v>1875</v>
      </c>
      <c r="F486" s="7" t="s">
        <v>3789</v>
      </c>
      <c r="G486" s="7" t="s">
        <v>1871</v>
      </c>
      <c r="H486" s="7">
        <v>13700000</v>
      </c>
      <c r="I486" s="7">
        <v>7</v>
      </c>
      <c r="J486" s="7" t="s">
        <v>3796</v>
      </c>
      <c r="K486" s="8">
        <v>18400000</v>
      </c>
      <c r="L486" s="7" t="s">
        <v>3765</v>
      </c>
      <c r="M486" s="7" t="s">
        <v>3045</v>
      </c>
      <c r="N486" s="7" t="s">
        <v>3791</v>
      </c>
      <c r="O486" s="7"/>
      <c r="P486" s="13" t="s">
        <v>3797</v>
      </c>
    </row>
    <row r="487" spans="1:16" ht="45" x14ac:dyDescent="0.25">
      <c r="A487" s="7" t="s">
        <v>1883</v>
      </c>
      <c r="B487" s="7" t="str">
        <f>"1377"</f>
        <v>1377</v>
      </c>
      <c r="C487" s="7">
        <v>2020</v>
      </c>
      <c r="D487" s="7" t="s">
        <v>1867</v>
      </c>
      <c r="E487" s="7" t="s">
        <v>1875</v>
      </c>
      <c r="F487" s="7" t="s">
        <v>3835</v>
      </c>
      <c r="G487" s="7" t="s">
        <v>1871</v>
      </c>
      <c r="H487" s="7">
        <v>1085255227</v>
      </c>
      <c r="I487" s="7">
        <v>1</v>
      </c>
      <c r="J487" s="7" t="s">
        <v>3836</v>
      </c>
      <c r="K487" s="8">
        <v>15900000</v>
      </c>
      <c r="L487" s="7" t="s">
        <v>3629</v>
      </c>
      <c r="M487" s="7" t="s">
        <v>3467</v>
      </c>
      <c r="N487" s="7" t="s">
        <v>3837</v>
      </c>
      <c r="O487" s="7"/>
      <c r="P487" s="13" t="s">
        <v>3838</v>
      </c>
    </row>
    <row r="488" spans="1:16" x14ac:dyDescent="0.25">
      <c r="A488" s="7" t="s">
        <v>1883</v>
      </c>
      <c r="B488" s="7" t="str">
        <f>"1574"</f>
        <v>1574</v>
      </c>
      <c r="C488" s="7">
        <v>2020</v>
      </c>
      <c r="D488" s="7" t="s">
        <v>1867</v>
      </c>
      <c r="E488" s="7" t="s">
        <v>1875</v>
      </c>
      <c r="F488" s="7" t="s">
        <v>4161</v>
      </c>
      <c r="G488" s="7" t="s">
        <v>1871</v>
      </c>
      <c r="H488" s="7">
        <v>59395833</v>
      </c>
      <c r="I488" s="7">
        <v>8</v>
      </c>
      <c r="J488" s="7" t="s">
        <v>4162</v>
      </c>
      <c r="K488" s="8">
        <v>8904000</v>
      </c>
      <c r="L488" s="7" t="s">
        <v>3882</v>
      </c>
      <c r="M488" s="7" t="s">
        <v>3947</v>
      </c>
      <c r="N488" s="7" t="s">
        <v>4150</v>
      </c>
      <c r="O488" s="7"/>
      <c r="P488" s="13" t="s">
        <v>1993</v>
      </c>
    </row>
    <row r="489" spans="1:16" ht="45" x14ac:dyDescent="0.25">
      <c r="A489" s="7" t="s">
        <v>1883</v>
      </c>
      <c r="B489" s="7" t="str">
        <f>"1575"</f>
        <v>1575</v>
      </c>
      <c r="C489" s="7">
        <v>2020</v>
      </c>
      <c r="D489" s="7" t="s">
        <v>1867</v>
      </c>
      <c r="E489" s="7" t="s">
        <v>1875</v>
      </c>
      <c r="F489" s="7" t="s">
        <v>4163</v>
      </c>
      <c r="G489" s="7" t="s">
        <v>1871</v>
      </c>
      <c r="H489" s="7">
        <v>1085247782</v>
      </c>
      <c r="I489" s="7">
        <v>2</v>
      </c>
      <c r="J489" s="7" t="s">
        <v>4164</v>
      </c>
      <c r="K489" s="8">
        <v>8904000</v>
      </c>
      <c r="L489" s="7" t="s">
        <v>3882</v>
      </c>
      <c r="M489" s="7" t="s">
        <v>3053</v>
      </c>
      <c r="N489" s="7" t="s">
        <v>4150</v>
      </c>
      <c r="O489" s="7"/>
      <c r="P489" s="13" t="s">
        <v>4165</v>
      </c>
    </row>
    <row r="490" spans="1:16" x14ac:dyDescent="0.25">
      <c r="A490" s="7" t="s">
        <v>1883</v>
      </c>
      <c r="B490" s="7" t="str">
        <f>"1584"</f>
        <v>1584</v>
      </c>
      <c r="C490" s="7">
        <v>2020</v>
      </c>
      <c r="D490" s="7" t="s">
        <v>1867</v>
      </c>
      <c r="E490" s="7" t="s">
        <v>1868</v>
      </c>
      <c r="F490" s="7" t="s">
        <v>4186</v>
      </c>
      <c r="G490" s="7" t="s">
        <v>1871</v>
      </c>
      <c r="H490" s="7">
        <v>1004538648</v>
      </c>
      <c r="I490" s="7">
        <v>8</v>
      </c>
      <c r="J490" s="7" t="s">
        <v>4187</v>
      </c>
      <c r="K490" s="8">
        <v>13757952</v>
      </c>
      <c r="L490" s="7" t="s">
        <v>3882</v>
      </c>
      <c r="M490" s="7" t="s">
        <v>4147</v>
      </c>
      <c r="N490" s="7" t="s">
        <v>4150</v>
      </c>
      <c r="O490" s="7"/>
      <c r="P490" s="13" t="s">
        <v>1993</v>
      </c>
    </row>
    <row r="491" spans="1:16" ht="45" x14ac:dyDescent="0.25">
      <c r="A491" s="7" t="s">
        <v>1883</v>
      </c>
      <c r="B491" s="7" t="str">
        <f>"1585"</f>
        <v>1585</v>
      </c>
      <c r="C491" s="7">
        <v>2020</v>
      </c>
      <c r="D491" s="7" t="s">
        <v>1867</v>
      </c>
      <c r="E491" s="7" t="s">
        <v>1875</v>
      </c>
      <c r="F491" s="7" t="s">
        <v>4163</v>
      </c>
      <c r="G491" s="7" t="s">
        <v>1871</v>
      </c>
      <c r="H491" s="7">
        <v>98383119</v>
      </c>
      <c r="I491" s="7">
        <v>7</v>
      </c>
      <c r="J491" s="7" t="s">
        <v>4188</v>
      </c>
      <c r="K491" s="8">
        <v>8904000</v>
      </c>
      <c r="L491" s="7" t="s">
        <v>3882</v>
      </c>
      <c r="M491" s="7" t="s">
        <v>3947</v>
      </c>
      <c r="N491" s="7" t="s">
        <v>4150</v>
      </c>
      <c r="O491" s="7"/>
      <c r="P491" s="13" t="s">
        <v>4189</v>
      </c>
    </row>
    <row r="492" spans="1:16" ht="45" x14ac:dyDescent="0.25">
      <c r="A492" s="7" t="s">
        <v>1883</v>
      </c>
      <c r="B492" s="7" t="str">
        <f>"1339"</f>
        <v>1339</v>
      </c>
      <c r="C492" s="7">
        <v>2020</v>
      </c>
      <c r="D492" s="7" t="s">
        <v>1867</v>
      </c>
      <c r="E492" s="7" t="s">
        <v>1868</v>
      </c>
      <c r="F492" s="7" t="s">
        <v>3773</v>
      </c>
      <c r="G492" s="7" t="s">
        <v>1871</v>
      </c>
      <c r="H492" s="7">
        <v>36758343</v>
      </c>
      <c r="I492" s="7">
        <v>3</v>
      </c>
      <c r="J492" s="7" t="s">
        <v>1900</v>
      </c>
      <c r="K492" s="8">
        <v>27515904</v>
      </c>
      <c r="L492" s="7" t="s">
        <v>3684</v>
      </c>
      <c r="M492" s="7" t="s">
        <v>3251</v>
      </c>
      <c r="N492" s="7" t="s">
        <v>1974</v>
      </c>
      <c r="O492" s="7"/>
      <c r="P492" s="13" t="s">
        <v>3774</v>
      </c>
    </row>
    <row r="493" spans="1:16" ht="45" x14ac:dyDescent="0.25">
      <c r="A493" s="7" t="s">
        <v>1883</v>
      </c>
      <c r="B493" s="7" t="str">
        <f>"1362"</f>
        <v>1362</v>
      </c>
      <c r="C493" s="7">
        <v>2020</v>
      </c>
      <c r="D493" s="7" t="s">
        <v>1867</v>
      </c>
      <c r="E493" s="7" t="s">
        <v>1875</v>
      </c>
      <c r="F493" s="7" t="s">
        <v>3801</v>
      </c>
      <c r="G493" s="7" t="s">
        <v>1871</v>
      </c>
      <c r="H493" s="7">
        <v>36953329</v>
      </c>
      <c r="I493" s="7">
        <v>8</v>
      </c>
      <c r="J493" s="7" t="s">
        <v>3802</v>
      </c>
      <c r="K493" s="8">
        <v>17467779</v>
      </c>
      <c r="L493" s="7" t="s">
        <v>2923</v>
      </c>
      <c r="M493" s="7" t="s">
        <v>3766</v>
      </c>
      <c r="N493" s="7" t="s">
        <v>1974</v>
      </c>
      <c r="O493" s="7"/>
      <c r="P493" s="13" t="s">
        <v>3803</v>
      </c>
    </row>
    <row r="494" spans="1:16" ht="45" x14ac:dyDescent="0.25">
      <c r="A494" s="7" t="s">
        <v>1883</v>
      </c>
      <c r="B494" s="7" t="str">
        <f>"1368"</f>
        <v>1368</v>
      </c>
      <c r="C494" s="7">
        <v>2020</v>
      </c>
      <c r="D494" s="7" t="s">
        <v>1867</v>
      </c>
      <c r="E494" s="7" t="s">
        <v>1875</v>
      </c>
      <c r="F494" s="7" t="s">
        <v>3820</v>
      </c>
      <c r="G494" s="7" t="s">
        <v>1871</v>
      </c>
      <c r="H494" s="7">
        <v>30709922</v>
      </c>
      <c r="I494" s="7">
        <v>1</v>
      </c>
      <c r="J494" s="7" t="s">
        <v>3821</v>
      </c>
      <c r="K494" s="8">
        <v>8904000</v>
      </c>
      <c r="L494" s="7" t="s">
        <v>2925</v>
      </c>
      <c r="M494" s="7" t="s">
        <v>3822</v>
      </c>
      <c r="N494" s="7" t="s">
        <v>1974</v>
      </c>
      <c r="O494" s="7"/>
      <c r="P494" s="13" t="s">
        <v>3823</v>
      </c>
    </row>
    <row r="495" spans="1:16" ht="45" x14ac:dyDescent="0.25">
      <c r="A495" s="7" t="s">
        <v>1883</v>
      </c>
      <c r="B495" s="7" t="str">
        <f>"1378"</f>
        <v>1378</v>
      </c>
      <c r="C495" s="7">
        <v>2020</v>
      </c>
      <c r="D495" s="7" t="s">
        <v>1867</v>
      </c>
      <c r="E495" s="7" t="s">
        <v>1868</v>
      </c>
      <c r="F495" s="7" t="s">
        <v>3839</v>
      </c>
      <c r="G495" s="7" t="s">
        <v>1871</v>
      </c>
      <c r="H495" s="7">
        <v>1087645603</v>
      </c>
      <c r="I495" s="7">
        <v>7</v>
      </c>
      <c r="J495" s="7" t="s">
        <v>3840</v>
      </c>
      <c r="K495" s="8">
        <v>15936294</v>
      </c>
      <c r="L495" s="7" t="s">
        <v>3828</v>
      </c>
      <c r="M495" s="7" t="s">
        <v>2041</v>
      </c>
      <c r="N495" s="7" t="s">
        <v>1974</v>
      </c>
      <c r="O495" s="7"/>
      <c r="P495" s="13" t="s">
        <v>3841</v>
      </c>
    </row>
    <row r="496" spans="1:16" ht="45" x14ac:dyDescent="0.25">
      <c r="A496" s="7" t="s">
        <v>1883</v>
      </c>
      <c r="B496" s="7" t="str">
        <f>"1382"</f>
        <v>1382</v>
      </c>
      <c r="C496" s="7">
        <v>2020</v>
      </c>
      <c r="D496" s="7" t="s">
        <v>1867</v>
      </c>
      <c r="E496" s="7" t="s">
        <v>1875</v>
      </c>
      <c r="F496" s="7" t="s">
        <v>3846</v>
      </c>
      <c r="G496" s="7" t="s">
        <v>1871</v>
      </c>
      <c r="H496" s="7">
        <v>59830361</v>
      </c>
      <c r="I496" s="7">
        <v>1</v>
      </c>
      <c r="J496" s="7" t="s">
        <v>3847</v>
      </c>
      <c r="K496" s="8">
        <v>5925227</v>
      </c>
      <c r="L496" s="7" t="s">
        <v>3262</v>
      </c>
      <c r="M496" s="7" t="s">
        <v>1995</v>
      </c>
      <c r="N496" s="7" t="s">
        <v>1974</v>
      </c>
      <c r="O496" s="7"/>
      <c r="P496" s="13" t="s">
        <v>3848</v>
      </c>
    </row>
    <row r="497" spans="1:16" ht="45" x14ac:dyDescent="0.25">
      <c r="A497" s="7" t="s">
        <v>1883</v>
      </c>
      <c r="B497" s="7" t="str">
        <f>"1383"</f>
        <v>1383</v>
      </c>
      <c r="C497" s="7">
        <v>2020</v>
      </c>
      <c r="D497" s="7" t="s">
        <v>1867</v>
      </c>
      <c r="E497" s="7" t="s">
        <v>1875</v>
      </c>
      <c r="F497" s="7" t="s">
        <v>3846</v>
      </c>
      <c r="G497" s="7" t="s">
        <v>1871</v>
      </c>
      <c r="H497" s="7">
        <v>12754894</v>
      </c>
      <c r="I497" s="7">
        <v>7</v>
      </c>
      <c r="J497" s="7" t="s">
        <v>3849</v>
      </c>
      <c r="K497" s="8">
        <v>5925227</v>
      </c>
      <c r="L497" s="7" t="s">
        <v>3262</v>
      </c>
      <c r="M497" s="7" t="s">
        <v>3850</v>
      </c>
      <c r="N497" s="7" t="s">
        <v>1974</v>
      </c>
      <c r="O497" s="7"/>
      <c r="P497" s="13" t="s">
        <v>3851</v>
      </c>
    </row>
    <row r="498" spans="1:16" ht="45" x14ac:dyDescent="0.25">
      <c r="A498" s="7" t="s">
        <v>1883</v>
      </c>
      <c r="B498" s="7" t="str">
        <f>"1385"</f>
        <v>1385</v>
      </c>
      <c r="C498" s="7">
        <v>2020</v>
      </c>
      <c r="D498" s="7" t="s">
        <v>1867</v>
      </c>
      <c r="E498" s="7" t="s">
        <v>1875</v>
      </c>
      <c r="F498" s="7" t="s">
        <v>3846</v>
      </c>
      <c r="G498" s="7" t="s">
        <v>1871</v>
      </c>
      <c r="H498" s="7">
        <v>1085319004</v>
      </c>
      <c r="I498" s="7">
        <v>0</v>
      </c>
      <c r="J498" s="7" t="s">
        <v>3852</v>
      </c>
      <c r="K498" s="8">
        <v>5925227</v>
      </c>
      <c r="L498" s="7" t="s">
        <v>3262</v>
      </c>
      <c r="M498" s="7" t="s">
        <v>3850</v>
      </c>
      <c r="N498" s="7" t="s">
        <v>1974</v>
      </c>
      <c r="O498" s="7"/>
      <c r="P498" s="13" t="s">
        <v>3853</v>
      </c>
    </row>
    <row r="499" spans="1:16" x14ac:dyDescent="0.25">
      <c r="A499" s="7" t="s">
        <v>1883</v>
      </c>
      <c r="B499" s="7" t="str">
        <f>"1631"</f>
        <v>1631</v>
      </c>
      <c r="C499" s="7">
        <v>2020</v>
      </c>
      <c r="D499" s="7" t="s">
        <v>1867</v>
      </c>
      <c r="E499" s="7" t="s">
        <v>1875</v>
      </c>
      <c r="F499" s="7" t="s">
        <v>4237</v>
      </c>
      <c r="G499" s="7" t="s">
        <v>1871</v>
      </c>
      <c r="H499" s="7">
        <v>1085263186</v>
      </c>
      <c r="I499" s="7">
        <v>1</v>
      </c>
      <c r="J499" s="7" t="s">
        <v>4238</v>
      </c>
      <c r="K499" s="8">
        <v>9328000</v>
      </c>
      <c r="L499" s="7" t="s">
        <v>1909</v>
      </c>
      <c r="M499" s="7" t="s">
        <v>4077</v>
      </c>
      <c r="N499" s="7" t="s">
        <v>1974</v>
      </c>
      <c r="O499" s="7"/>
      <c r="P499" s="13" t="s">
        <v>1993</v>
      </c>
    </row>
    <row r="500" spans="1:16" ht="45" x14ac:dyDescent="0.25">
      <c r="A500" s="7" t="s">
        <v>1883</v>
      </c>
      <c r="B500" s="7" t="str">
        <f>"1646"</f>
        <v>1646</v>
      </c>
      <c r="C500" s="7">
        <v>2020</v>
      </c>
      <c r="D500" s="7" t="s">
        <v>1867</v>
      </c>
      <c r="E500" s="7" t="s">
        <v>1875</v>
      </c>
      <c r="F500" s="7" t="s">
        <v>4244</v>
      </c>
      <c r="G500" s="7" t="s">
        <v>1871</v>
      </c>
      <c r="H500" s="7">
        <v>1085305933</v>
      </c>
      <c r="I500" s="7"/>
      <c r="J500" s="7" t="s">
        <v>4245</v>
      </c>
      <c r="K500" s="8">
        <v>4340000</v>
      </c>
      <c r="L500" s="7" t="s">
        <v>1915</v>
      </c>
      <c r="M500" s="7" t="s">
        <v>3050</v>
      </c>
      <c r="N500" s="7" t="s">
        <v>1974</v>
      </c>
      <c r="O500" s="7"/>
      <c r="P500" s="13" t="s">
        <v>4246</v>
      </c>
    </row>
    <row r="501" spans="1:16" x14ac:dyDescent="0.25">
      <c r="A501" s="7" t="s">
        <v>1883</v>
      </c>
      <c r="B501" s="7" t="str">
        <f>"1657"</f>
        <v>1657</v>
      </c>
      <c r="C501" s="7">
        <v>2020</v>
      </c>
      <c r="D501" s="7" t="s">
        <v>1867</v>
      </c>
      <c r="E501" s="7" t="s">
        <v>1868</v>
      </c>
      <c r="F501" s="7" t="s">
        <v>4257</v>
      </c>
      <c r="G501" s="7" t="s">
        <v>1871</v>
      </c>
      <c r="H501" s="7">
        <v>1085289611</v>
      </c>
      <c r="I501" s="7">
        <v>1</v>
      </c>
      <c r="J501" s="7" t="s">
        <v>4258</v>
      </c>
      <c r="K501" s="8">
        <v>13757952</v>
      </c>
      <c r="L501" s="7" t="s">
        <v>1915</v>
      </c>
      <c r="M501" s="7" t="s">
        <v>4077</v>
      </c>
      <c r="N501" s="7" t="s">
        <v>1974</v>
      </c>
      <c r="O501" s="7"/>
      <c r="P501" s="13" t="s">
        <v>1993</v>
      </c>
    </row>
    <row r="502" spans="1:16" x14ac:dyDescent="0.25">
      <c r="A502" s="7" t="s">
        <v>1883</v>
      </c>
      <c r="B502" s="7" t="str">
        <f>"1693"</f>
        <v>1693</v>
      </c>
      <c r="C502" s="7">
        <v>2020</v>
      </c>
      <c r="D502" s="7" t="s">
        <v>1867</v>
      </c>
      <c r="E502" s="7" t="s">
        <v>1875</v>
      </c>
      <c r="F502" s="7" t="s">
        <v>4282</v>
      </c>
      <c r="G502" s="7" t="s">
        <v>1871</v>
      </c>
      <c r="H502" s="7">
        <v>1085282588</v>
      </c>
      <c r="I502" s="7">
        <v>8</v>
      </c>
      <c r="J502" s="7" t="s">
        <v>2036</v>
      </c>
      <c r="K502" s="8">
        <v>10600000</v>
      </c>
      <c r="L502" s="7" t="s">
        <v>3476</v>
      </c>
      <c r="M502" s="7" t="s">
        <v>3272</v>
      </c>
      <c r="N502" s="7" t="s">
        <v>1974</v>
      </c>
      <c r="O502" s="7"/>
      <c r="P502" s="13" t="s">
        <v>1993</v>
      </c>
    </row>
    <row r="503" spans="1:16" x14ac:dyDescent="0.25">
      <c r="A503" s="7" t="s">
        <v>1883</v>
      </c>
      <c r="B503" s="7" t="str">
        <f>"1779"</f>
        <v>1779</v>
      </c>
      <c r="C503" s="7">
        <v>2020</v>
      </c>
      <c r="D503" s="7" t="s">
        <v>1867</v>
      </c>
      <c r="E503" s="7" t="s">
        <v>1875</v>
      </c>
      <c r="F503" s="7" t="s">
        <v>4302</v>
      </c>
      <c r="G503" s="7" t="s">
        <v>1871</v>
      </c>
      <c r="H503" s="7">
        <v>1085252995</v>
      </c>
      <c r="I503" s="7">
        <v>4</v>
      </c>
      <c r="J503" s="7" t="s">
        <v>1944</v>
      </c>
      <c r="K503" s="8">
        <v>6614400</v>
      </c>
      <c r="L503" s="7" t="s">
        <v>3200</v>
      </c>
      <c r="M503" s="7" t="s">
        <v>4203</v>
      </c>
      <c r="N503" s="7" t="s">
        <v>1974</v>
      </c>
      <c r="O503" s="7"/>
      <c r="P503" s="13" t="s">
        <v>1993</v>
      </c>
    </row>
    <row r="504" spans="1:16" x14ac:dyDescent="0.25">
      <c r="A504" s="7" t="s">
        <v>1883</v>
      </c>
      <c r="B504" s="7" t="str">
        <f>"1812"</f>
        <v>1812</v>
      </c>
      <c r="C504" s="7">
        <v>2020</v>
      </c>
      <c r="D504" s="7" t="s">
        <v>1867</v>
      </c>
      <c r="E504" s="7" t="s">
        <v>1875</v>
      </c>
      <c r="F504" s="7" t="s">
        <v>4312</v>
      </c>
      <c r="G504" s="7" t="s">
        <v>1871</v>
      </c>
      <c r="H504" s="7">
        <v>27487895</v>
      </c>
      <c r="I504" s="7">
        <v>3</v>
      </c>
      <c r="J504" s="7" t="s">
        <v>4313</v>
      </c>
      <c r="K504" s="8">
        <v>4593333</v>
      </c>
      <c r="L504" s="7" t="s">
        <v>3272</v>
      </c>
      <c r="M504" s="7" t="s">
        <v>2822</v>
      </c>
      <c r="N504" s="7" t="s">
        <v>1974</v>
      </c>
      <c r="O504" s="7"/>
      <c r="P504" s="13" t="s">
        <v>1993</v>
      </c>
    </row>
    <row r="505" spans="1:16" x14ac:dyDescent="0.25">
      <c r="A505" s="7" t="s">
        <v>1883</v>
      </c>
      <c r="B505" s="7" t="str">
        <f>"1821"</f>
        <v>1821</v>
      </c>
      <c r="C505" s="7">
        <v>2020</v>
      </c>
      <c r="D505" s="7" t="s">
        <v>1867</v>
      </c>
      <c r="E505" s="7" t="s">
        <v>1868</v>
      </c>
      <c r="F505" s="7" t="s">
        <v>4314</v>
      </c>
      <c r="G505" s="7" t="s">
        <v>1871</v>
      </c>
      <c r="H505" s="7">
        <v>1085932709</v>
      </c>
      <c r="I505" s="7">
        <v>2</v>
      </c>
      <c r="J505" s="7" t="s">
        <v>4315</v>
      </c>
      <c r="K505" s="8">
        <v>11350310</v>
      </c>
      <c r="L505" s="7" t="s">
        <v>4031</v>
      </c>
      <c r="M505" s="7" t="s">
        <v>4203</v>
      </c>
      <c r="N505" s="7" t="s">
        <v>1974</v>
      </c>
      <c r="O505" s="7"/>
      <c r="P505" s="13" t="s">
        <v>1993</v>
      </c>
    </row>
    <row r="506" spans="1:16" ht="30" x14ac:dyDescent="0.25">
      <c r="A506" s="7" t="s">
        <v>1929</v>
      </c>
      <c r="B506" s="7" t="str">
        <f>"0301"</f>
        <v>0301</v>
      </c>
      <c r="C506" s="7">
        <v>2020</v>
      </c>
      <c r="D506" s="7" t="s">
        <v>1867</v>
      </c>
      <c r="E506" s="7" t="s">
        <v>1989</v>
      </c>
      <c r="F506" s="7" t="s">
        <v>2265</v>
      </c>
      <c r="G506" s="7" t="s">
        <v>1871</v>
      </c>
      <c r="H506" s="7">
        <v>71382933</v>
      </c>
      <c r="I506" s="7">
        <v>3</v>
      </c>
      <c r="J506" s="7" t="s">
        <v>2266</v>
      </c>
      <c r="K506" s="8">
        <v>27515904</v>
      </c>
      <c r="L506" s="7" t="s">
        <v>1898</v>
      </c>
      <c r="M506" s="7" t="s">
        <v>2239</v>
      </c>
      <c r="N506" s="7" t="s">
        <v>1915</v>
      </c>
      <c r="O506" s="7"/>
      <c r="P506" s="13" t="s">
        <v>2267</v>
      </c>
    </row>
    <row r="507" spans="1:16" ht="30" x14ac:dyDescent="0.25">
      <c r="A507" s="7" t="s">
        <v>1929</v>
      </c>
      <c r="B507" s="7" t="str">
        <f>"1018"</f>
        <v>1018</v>
      </c>
      <c r="C507" s="7">
        <v>2020</v>
      </c>
      <c r="D507" s="7" t="s">
        <v>1867</v>
      </c>
      <c r="E507" s="7" t="s">
        <v>1875</v>
      </c>
      <c r="F507" s="7" t="s">
        <v>3474</v>
      </c>
      <c r="G507" s="7" t="s">
        <v>1871</v>
      </c>
      <c r="H507" s="7">
        <v>1086550542</v>
      </c>
      <c r="I507" s="7">
        <v>3</v>
      </c>
      <c r="J507" s="7" t="s">
        <v>3475</v>
      </c>
      <c r="K507" s="8">
        <v>11448000</v>
      </c>
      <c r="L507" s="7" t="s">
        <v>2239</v>
      </c>
      <c r="M507" s="7" t="s">
        <v>3214</v>
      </c>
      <c r="N507" s="7" t="s">
        <v>3476</v>
      </c>
      <c r="O507" s="7"/>
      <c r="P507" s="13" t="s">
        <v>3477</v>
      </c>
    </row>
    <row r="508" spans="1:16" ht="30" x14ac:dyDescent="0.25">
      <c r="A508" s="7" t="s">
        <v>1929</v>
      </c>
      <c r="B508" s="7" t="str">
        <f>"1019"</f>
        <v>1019</v>
      </c>
      <c r="C508" s="7">
        <v>2020</v>
      </c>
      <c r="D508" s="7" t="s">
        <v>1867</v>
      </c>
      <c r="E508" s="7" t="s">
        <v>1875</v>
      </c>
      <c r="F508" s="7" t="s">
        <v>3474</v>
      </c>
      <c r="G508" s="7" t="s">
        <v>1871</v>
      </c>
      <c r="H508" s="7">
        <v>1004697241</v>
      </c>
      <c r="I508" s="7">
        <v>5</v>
      </c>
      <c r="J508" s="7" t="s">
        <v>3478</v>
      </c>
      <c r="K508" s="8">
        <v>11448000</v>
      </c>
      <c r="L508" s="7" t="s">
        <v>2239</v>
      </c>
      <c r="M508" s="7" t="s">
        <v>3214</v>
      </c>
      <c r="N508" s="7" t="s">
        <v>3476</v>
      </c>
      <c r="O508" s="7"/>
      <c r="P508" s="13" t="s">
        <v>3479</v>
      </c>
    </row>
    <row r="509" spans="1:16" ht="30" x14ac:dyDescent="0.25">
      <c r="A509" s="7" t="s">
        <v>1929</v>
      </c>
      <c r="B509" s="7" t="str">
        <f>"1020"</f>
        <v>1020</v>
      </c>
      <c r="C509" s="7">
        <v>2020</v>
      </c>
      <c r="D509" s="7" t="s">
        <v>1867</v>
      </c>
      <c r="E509" s="7" t="s">
        <v>1875</v>
      </c>
      <c r="F509" s="7" t="s">
        <v>3474</v>
      </c>
      <c r="G509" s="7" t="s">
        <v>1871</v>
      </c>
      <c r="H509" s="7">
        <v>1084551024</v>
      </c>
      <c r="I509" s="7">
        <v>7</v>
      </c>
      <c r="J509" s="7" t="s">
        <v>3480</v>
      </c>
      <c r="K509" s="8">
        <v>11448000</v>
      </c>
      <c r="L509" s="7" t="s">
        <v>2239</v>
      </c>
      <c r="M509" s="7" t="s">
        <v>3214</v>
      </c>
      <c r="N509" s="7" t="s">
        <v>3476</v>
      </c>
      <c r="O509" s="7"/>
      <c r="P509" s="13" t="s">
        <v>3481</v>
      </c>
    </row>
    <row r="510" spans="1:16" ht="30" x14ac:dyDescent="0.25">
      <c r="A510" s="7" t="s">
        <v>1929</v>
      </c>
      <c r="B510" s="7" t="str">
        <f>"1252"</f>
        <v>1252</v>
      </c>
      <c r="C510" s="7">
        <v>2020</v>
      </c>
      <c r="D510" s="7" t="s">
        <v>1867</v>
      </c>
      <c r="E510" s="7" t="s">
        <v>1868</v>
      </c>
      <c r="F510" s="7" t="s">
        <v>3728</v>
      </c>
      <c r="G510" s="7" t="s">
        <v>1871</v>
      </c>
      <c r="H510" s="7">
        <v>1085310150</v>
      </c>
      <c r="I510" s="7">
        <v>4</v>
      </c>
      <c r="J510" s="7" t="s">
        <v>3729</v>
      </c>
      <c r="K510" s="8">
        <v>20636928</v>
      </c>
      <c r="L510" s="7" t="s">
        <v>2331</v>
      </c>
      <c r="M510" s="7" t="s">
        <v>3388</v>
      </c>
      <c r="N510" s="7" t="s">
        <v>2110</v>
      </c>
      <c r="O510" s="7"/>
      <c r="P510" s="13" t="s">
        <v>3730</v>
      </c>
    </row>
    <row r="511" spans="1:16" ht="30" x14ac:dyDescent="0.25">
      <c r="A511" s="7" t="s">
        <v>1929</v>
      </c>
      <c r="B511" s="7" t="str">
        <f>"0303"</f>
        <v>0303</v>
      </c>
      <c r="C511" s="7">
        <v>2020</v>
      </c>
      <c r="D511" s="7" t="s">
        <v>1867</v>
      </c>
      <c r="E511" s="7" t="s">
        <v>1875</v>
      </c>
      <c r="F511" s="7" t="s">
        <v>2271</v>
      </c>
      <c r="G511" s="7" t="s">
        <v>1871</v>
      </c>
      <c r="H511" s="7">
        <v>98395419</v>
      </c>
      <c r="I511" s="7">
        <v>3</v>
      </c>
      <c r="J511" s="7" t="s">
        <v>2272</v>
      </c>
      <c r="K511" s="8">
        <v>15264000</v>
      </c>
      <c r="L511" s="7" t="s">
        <v>1898</v>
      </c>
      <c r="M511" s="7" t="s">
        <v>2257</v>
      </c>
      <c r="N511" s="7" t="s">
        <v>2167</v>
      </c>
      <c r="O511" s="7"/>
      <c r="P511" s="13" t="s">
        <v>2273</v>
      </c>
    </row>
    <row r="512" spans="1:16" ht="30" x14ac:dyDescent="0.25">
      <c r="A512" s="7" t="s">
        <v>1929</v>
      </c>
      <c r="B512" s="7" t="str">
        <f>"0307"</f>
        <v>0307</v>
      </c>
      <c r="C512" s="7">
        <v>2020</v>
      </c>
      <c r="D512" s="7" t="s">
        <v>1867</v>
      </c>
      <c r="E512" s="7" t="s">
        <v>1875</v>
      </c>
      <c r="F512" s="7" t="s">
        <v>2277</v>
      </c>
      <c r="G512" s="7" t="s">
        <v>1871</v>
      </c>
      <c r="H512" s="7">
        <v>1085291616</v>
      </c>
      <c r="I512" s="7">
        <v>4</v>
      </c>
      <c r="J512" s="7" t="s">
        <v>2278</v>
      </c>
      <c r="K512" s="8">
        <v>15264000</v>
      </c>
      <c r="L512" s="7" t="s">
        <v>1898</v>
      </c>
      <c r="M512" s="7" t="s">
        <v>2171</v>
      </c>
      <c r="N512" s="7" t="s">
        <v>2167</v>
      </c>
      <c r="O512" s="7"/>
      <c r="P512" s="13" t="s">
        <v>2279</v>
      </c>
    </row>
    <row r="513" spans="1:16" ht="30" x14ac:dyDescent="0.25">
      <c r="A513" s="7" t="s">
        <v>1929</v>
      </c>
      <c r="B513" s="7" t="str">
        <f>"0315"</f>
        <v>0315</v>
      </c>
      <c r="C513" s="7">
        <v>2020</v>
      </c>
      <c r="D513" s="7" t="s">
        <v>1867</v>
      </c>
      <c r="E513" s="7" t="s">
        <v>1875</v>
      </c>
      <c r="F513" s="7" t="s">
        <v>2293</v>
      </c>
      <c r="G513" s="7" t="s">
        <v>1871</v>
      </c>
      <c r="H513" s="7">
        <v>1085338840</v>
      </c>
      <c r="I513" s="7">
        <v>2</v>
      </c>
      <c r="J513" s="7" t="s">
        <v>2294</v>
      </c>
      <c r="K513" s="8">
        <v>8800000</v>
      </c>
      <c r="L513" s="7" t="s">
        <v>1898</v>
      </c>
      <c r="M513" s="7" t="s">
        <v>2204</v>
      </c>
      <c r="N513" s="7" t="s">
        <v>2167</v>
      </c>
      <c r="O513" s="7"/>
      <c r="P513" s="13" t="s">
        <v>2295</v>
      </c>
    </row>
    <row r="514" spans="1:16" ht="30" x14ac:dyDescent="0.25">
      <c r="A514" s="7" t="s">
        <v>1929</v>
      </c>
      <c r="B514" s="7" t="str">
        <f>"0280"</f>
        <v>0280</v>
      </c>
      <c r="C514" s="7">
        <v>2020</v>
      </c>
      <c r="D514" s="7" t="s">
        <v>1867</v>
      </c>
      <c r="E514" s="7" t="s">
        <v>1868</v>
      </c>
      <c r="F514" s="7" t="s">
        <v>2208</v>
      </c>
      <c r="G514" s="7" t="s">
        <v>1871</v>
      </c>
      <c r="H514" s="7">
        <v>1085308762</v>
      </c>
      <c r="I514" s="7">
        <v>8</v>
      </c>
      <c r="J514" s="7" t="s">
        <v>2209</v>
      </c>
      <c r="K514" s="8">
        <v>27515904</v>
      </c>
      <c r="L514" s="7" t="s">
        <v>1898</v>
      </c>
      <c r="M514" s="7" t="s">
        <v>2171</v>
      </c>
      <c r="N514" s="7" t="s">
        <v>2197</v>
      </c>
      <c r="O514" s="7"/>
      <c r="P514" s="13" t="s">
        <v>2210</v>
      </c>
    </row>
    <row r="515" spans="1:16" ht="30" x14ac:dyDescent="0.25">
      <c r="A515" s="7" t="s">
        <v>1929</v>
      </c>
      <c r="B515" s="7" t="str">
        <f>"0281"</f>
        <v>0281</v>
      </c>
      <c r="C515" s="7">
        <v>2020</v>
      </c>
      <c r="D515" s="7" t="s">
        <v>1867</v>
      </c>
      <c r="E515" s="7" t="s">
        <v>1868</v>
      </c>
      <c r="F515" s="7" t="s">
        <v>2211</v>
      </c>
      <c r="G515" s="7" t="s">
        <v>1871</v>
      </c>
      <c r="H515" s="7">
        <v>1086018930</v>
      </c>
      <c r="I515" s="7">
        <v>8</v>
      </c>
      <c r="J515" s="7" t="s">
        <v>2212</v>
      </c>
      <c r="K515" s="8">
        <v>27515904</v>
      </c>
      <c r="L515" s="7" t="s">
        <v>1898</v>
      </c>
      <c r="M515" s="7" t="s">
        <v>2152</v>
      </c>
      <c r="N515" s="7" t="s">
        <v>2197</v>
      </c>
      <c r="O515" s="7"/>
      <c r="P515" s="13" t="s">
        <v>2213</v>
      </c>
    </row>
    <row r="516" spans="1:16" ht="30" x14ac:dyDescent="0.25">
      <c r="A516" s="7" t="s">
        <v>1929</v>
      </c>
      <c r="B516" s="7" t="str">
        <f>"0282"</f>
        <v>0282</v>
      </c>
      <c r="C516" s="7">
        <v>2020</v>
      </c>
      <c r="D516" s="7" t="s">
        <v>1867</v>
      </c>
      <c r="E516" s="7" t="s">
        <v>1868</v>
      </c>
      <c r="F516" s="7" t="s">
        <v>2214</v>
      </c>
      <c r="G516" s="7" t="s">
        <v>1871</v>
      </c>
      <c r="H516" s="7">
        <v>87453427</v>
      </c>
      <c r="I516" s="7">
        <v>1</v>
      </c>
      <c r="J516" s="7" t="s">
        <v>2215</v>
      </c>
      <c r="K516" s="8">
        <v>27515904</v>
      </c>
      <c r="L516" s="7" t="s">
        <v>1898</v>
      </c>
      <c r="M516" s="7" t="s">
        <v>2116</v>
      </c>
      <c r="N516" s="7" t="s">
        <v>2197</v>
      </c>
      <c r="O516" s="7"/>
      <c r="P516" s="13" t="s">
        <v>2216</v>
      </c>
    </row>
    <row r="517" spans="1:16" ht="30" x14ac:dyDescent="0.25">
      <c r="A517" s="7" t="s">
        <v>1929</v>
      </c>
      <c r="B517" s="7" t="str">
        <f>"0283"</f>
        <v>0283</v>
      </c>
      <c r="C517" s="7">
        <v>2020</v>
      </c>
      <c r="D517" s="7" t="s">
        <v>1867</v>
      </c>
      <c r="E517" s="7" t="s">
        <v>1868</v>
      </c>
      <c r="F517" s="7" t="s">
        <v>2217</v>
      </c>
      <c r="G517" s="7" t="s">
        <v>1871</v>
      </c>
      <c r="H517" s="7">
        <v>27094332</v>
      </c>
      <c r="I517" s="7">
        <v>1</v>
      </c>
      <c r="J517" s="7" t="s">
        <v>2218</v>
      </c>
      <c r="K517" s="8">
        <v>27515904</v>
      </c>
      <c r="L517" s="7" t="s">
        <v>1898</v>
      </c>
      <c r="M517" s="7" t="s">
        <v>2022</v>
      </c>
      <c r="N517" s="7" t="s">
        <v>2197</v>
      </c>
      <c r="O517" s="7"/>
      <c r="P517" s="13" t="s">
        <v>2219</v>
      </c>
    </row>
    <row r="518" spans="1:16" ht="30" x14ac:dyDescent="0.25">
      <c r="A518" s="7" t="s">
        <v>1929</v>
      </c>
      <c r="B518" s="7" t="str">
        <f>"0284"</f>
        <v>0284</v>
      </c>
      <c r="C518" s="7">
        <v>2020</v>
      </c>
      <c r="D518" s="7" t="s">
        <v>1867</v>
      </c>
      <c r="E518" s="7" t="s">
        <v>1868</v>
      </c>
      <c r="F518" s="7" t="s">
        <v>2220</v>
      </c>
      <c r="G518" s="7" t="s">
        <v>1871</v>
      </c>
      <c r="H518" s="7">
        <v>98388304</v>
      </c>
      <c r="I518" s="7">
        <v>6</v>
      </c>
      <c r="J518" s="7" t="s">
        <v>1930</v>
      </c>
      <c r="K518" s="8">
        <v>31515904</v>
      </c>
      <c r="L518" s="7" t="s">
        <v>1898</v>
      </c>
      <c r="M518" s="7" t="s">
        <v>2022</v>
      </c>
      <c r="N518" s="7" t="s">
        <v>2197</v>
      </c>
      <c r="O518" s="7"/>
      <c r="P518" s="13" t="s">
        <v>2221</v>
      </c>
    </row>
    <row r="519" spans="1:16" ht="30" x14ac:dyDescent="0.25">
      <c r="A519" s="7" t="s">
        <v>1929</v>
      </c>
      <c r="B519" s="7" t="str">
        <f>"0285"</f>
        <v>0285</v>
      </c>
      <c r="C519" s="7">
        <v>2020</v>
      </c>
      <c r="D519" s="7" t="s">
        <v>1867</v>
      </c>
      <c r="E519" s="7" t="s">
        <v>1868</v>
      </c>
      <c r="F519" s="7" t="s">
        <v>2222</v>
      </c>
      <c r="G519" s="7" t="s">
        <v>1871</v>
      </c>
      <c r="H519" s="7">
        <v>27450979</v>
      </c>
      <c r="I519" s="7">
        <v>3</v>
      </c>
      <c r="J519" s="7" t="s">
        <v>2223</v>
      </c>
      <c r="K519" s="8">
        <v>27515904</v>
      </c>
      <c r="L519" s="7" t="s">
        <v>1898</v>
      </c>
      <c r="M519" s="7" t="s">
        <v>1914</v>
      </c>
      <c r="N519" s="7" t="s">
        <v>2197</v>
      </c>
      <c r="O519" s="7"/>
      <c r="P519" s="13" t="s">
        <v>2224</v>
      </c>
    </row>
    <row r="520" spans="1:16" ht="30" x14ac:dyDescent="0.25">
      <c r="A520" s="7" t="s">
        <v>1929</v>
      </c>
      <c r="B520" s="7" t="str">
        <f>"0286"</f>
        <v>0286</v>
      </c>
      <c r="C520" s="7">
        <v>2020</v>
      </c>
      <c r="D520" s="7" t="s">
        <v>1867</v>
      </c>
      <c r="E520" s="7" t="s">
        <v>1868</v>
      </c>
      <c r="F520" s="7" t="s">
        <v>2225</v>
      </c>
      <c r="G520" s="7" t="s">
        <v>1871</v>
      </c>
      <c r="H520" s="7">
        <v>1085294279</v>
      </c>
      <c r="I520" s="7">
        <v>9</v>
      </c>
      <c r="J520" s="7" t="s">
        <v>2226</v>
      </c>
      <c r="K520" s="8">
        <v>27515904</v>
      </c>
      <c r="L520" s="7" t="s">
        <v>1898</v>
      </c>
      <c r="M520" s="7" t="s">
        <v>2152</v>
      </c>
      <c r="N520" s="7" t="s">
        <v>2197</v>
      </c>
      <c r="O520" s="7"/>
      <c r="P520" s="13" t="s">
        <v>2227</v>
      </c>
    </row>
    <row r="521" spans="1:16" ht="30" x14ac:dyDescent="0.25">
      <c r="A521" s="7" t="s">
        <v>1929</v>
      </c>
      <c r="B521" s="7" t="str">
        <f>"0287"</f>
        <v>0287</v>
      </c>
      <c r="C521" s="7">
        <v>2020</v>
      </c>
      <c r="D521" s="7" t="s">
        <v>1867</v>
      </c>
      <c r="E521" s="7" t="s">
        <v>1868</v>
      </c>
      <c r="F521" s="7" t="s">
        <v>2228</v>
      </c>
      <c r="G521" s="7" t="s">
        <v>1871</v>
      </c>
      <c r="H521" s="7">
        <v>98386184</v>
      </c>
      <c r="I521" s="7">
        <v>1</v>
      </c>
      <c r="J521" s="7" t="s">
        <v>2229</v>
      </c>
      <c r="K521" s="8">
        <v>31515904</v>
      </c>
      <c r="L521" s="7" t="s">
        <v>1898</v>
      </c>
      <c r="M521" s="7" t="s">
        <v>2022</v>
      </c>
      <c r="N521" s="7" t="s">
        <v>2197</v>
      </c>
      <c r="O521" s="7"/>
      <c r="P521" s="13" t="s">
        <v>2230</v>
      </c>
    </row>
    <row r="522" spans="1:16" ht="30" x14ac:dyDescent="0.25">
      <c r="A522" s="7" t="s">
        <v>1929</v>
      </c>
      <c r="B522" s="7" t="str">
        <f>"0288"</f>
        <v>0288</v>
      </c>
      <c r="C522" s="7">
        <v>2020</v>
      </c>
      <c r="D522" s="7" t="s">
        <v>1867</v>
      </c>
      <c r="E522" s="7" t="s">
        <v>1868</v>
      </c>
      <c r="F522" s="7" t="s">
        <v>2231</v>
      </c>
      <c r="G522" s="7" t="s">
        <v>1871</v>
      </c>
      <c r="H522" s="7">
        <v>87068366</v>
      </c>
      <c r="I522" s="7">
        <v>1</v>
      </c>
      <c r="J522" s="7" t="s">
        <v>1931</v>
      </c>
      <c r="K522" s="8">
        <v>31515904</v>
      </c>
      <c r="L522" s="7" t="s">
        <v>1898</v>
      </c>
      <c r="M522" s="7" t="s">
        <v>2022</v>
      </c>
      <c r="N522" s="7" t="s">
        <v>2197</v>
      </c>
      <c r="O522" s="7"/>
      <c r="P522" s="13" t="s">
        <v>2232</v>
      </c>
    </row>
    <row r="523" spans="1:16" ht="30" x14ac:dyDescent="0.25">
      <c r="A523" s="7" t="s">
        <v>1929</v>
      </c>
      <c r="B523" s="7" t="str">
        <f>"0289"</f>
        <v>0289</v>
      </c>
      <c r="C523" s="7">
        <v>2020</v>
      </c>
      <c r="D523" s="7" t="s">
        <v>1867</v>
      </c>
      <c r="E523" s="7" t="s">
        <v>1868</v>
      </c>
      <c r="F523" s="7" t="s">
        <v>2233</v>
      </c>
      <c r="G523" s="7" t="s">
        <v>1871</v>
      </c>
      <c r="H523" s="7">
        <v>12995051</v>
      </c>
      <c r="I523" s="7">
        <v>9</v>
      </c>
      <c r="J523" s="7" t="s">
        <v>2234</v>
      </c>
      <c r="K523" s="8">
        <v>27515904</v>
      </c>
      <c r="L523" s="7" t="s">
        <v>1898</v>
      </c>
      <c r="M523" s="7" t="s">
        <v>2235</v>
      </c>
      <c r="N523" s="7" t="s">
        <v>2197</v>
      </c>
      <c r="O523" s="7"/>
      <c r="P523" s="13" t="s">
        <v>2236</v>
      </c>
    </row>
    <row r="524" spans="1:16" ht="30" x14ac:dyDescent="0.25">
      <c r="A524" s="7" t="s">
        <v>1929</v>
      </c>
      <c r="B524" s="7" t="str">
        <f>"0290"</f>
        <v>0290</v>
      </c>
      <c r="C524" s="7">
        <v>2020</v>
      </c>
      <c r="D524" s="7" t="s">
        <v>1867</v>
      </c>
      <c r="E524" s="7" t="s">
        <v>1989</v>
      </c>
      <c r="F524" s="7" t="s">
        <v>2237</v>
      </c>
      <c r="G524" s="7" t="s">
        <v>1891</v>
      </c>
      <c r="H524" s="7">
        <v>1085256327</v>
      </c>
      <c r="I524" s="7">
        <v>2</v>
      </c>
      <c r="J524" s="7" t="s">
        <v>2238</v>
      </c>
      <c r="K524" s="8">
        <v>27515904</v>
      </c>
      <c r="L524" s="7" t="s">
        <v>1898</v>
      </c>
      <c r="M524" s="7" t="s">
        <v>2239</v>
      </c>
      <c r="N524" s="7" t="s">
        <v>2197</v>
      </c>
      <c r="O524" s="7"/>
      <c r="P524" s="13" t="s">
        <v>2240</v>
      </c>
    </row>
    <row r="525" spans="1:16" ht="30" x14ac:dyDescent="0.25">
      <c r="A525" s="7" t="s">
        <v>1929</v>
      </c>
      <c r="B525" s="7" t="str">
        <f>"0291"</f>
        <v>0291</v>
      </c>
      <c r="C525" s="7">
        <v>2020</v>
      </c>
      <c r="D525" s="7" t="s">
        <v>1867</v>
      </c>
      <c r="E525" s="7" t="s">
        <v>1868</v>
      </c>
      <c r="F525" s="7" t="s">
        <v>2241</v>
      </c>
      <c r="G525" s="7" t="s">
        <v>1871</v>
      </c>
      <c r="H525" s="7">
        <v>59835505</v>
      </c>
      <c r="I525" s="7">
        <v>6</v>
      </c>
      <c r="J525" s="7" t="s">
        <v>2242</v>
      </c>
      <c r="K525" s="8">
        <v>27515904</v>
      </c>
      <c r="L525" s="7" t="s">
        <v>1898</v>
      </c>
      <c r="M525" s="7" t="s">
        <v>2116</v>
      </c>
      <c r="N525" s="7" t="s">
        <v>2197</v>
      </c>
      <c r="O525" s="7"/>
      <c r="P525" s="13" t="s">
        <v>2243</v>
      </c>
    </row>
    <row r="526" spans="1:16" ht="30" x14ac:dyDescent="0.25">
      <c r="A526" s="7" t="s">
        <v>1929</v>
      </c>
      <c r="B526" s="7" t="str">
        <f>"0292"</f>
        <v>0292</v>
      </c>
      <c r="C526" s="7">
        <v>2020</v>
      </c>
      <c r="D526" s="7" t="s">
        <v>1867</v>
      </c>
      <c r="E526" s="7" t="s">
        <v>1868</v>
      </c>
      <c r="F526" s="7" t="s">
        <v>1932</v>
      </c>
      <c r="G526" s="7" t="s">
        <v>1871</v>
      </c>
      <c r="H526" s="7">
        <v>36953083</v>
      </c>
      <c r="I526" s="7">
        <v>1</v>
      </c>
      <c r="J526" s="7" t="s">
        <v>2244</v>
      </c>
      <c r="K526" s="8">
        <v>27515904</v>
      </c>
      <c r="L526" s="7" t="s">
        <v>1898</v>
      </c>
      <c r="M526" s="7" t="s">
        <v>1914</v>
      </c>
      <c r="N526" s="7" t="s">
        <v>2197</v>
      </c>
      <c r="O526" s="7"/>
      <c r="P526" s="13" t="s">
        <v>2245</v>
      </c>
    </row>
    <row r="527" spans="1:16" ht="30" x14ac:dyDescent="0.25">
      <c r="A527" s="7" t="s">
        <v>1929</v>
      </c>
      <c r="B527" s="7" t="str">
        <f>"0294"</f>
        <v>0294</v>
      </c>
      <c r="C527" s="7">
        <v>2020</v>
      </c>
      <c r="D527" s="7" t="s">
        <v>1867</v>
      </c>
      <c r="E527" s="7" t="s">
        <v>1868</v>
      </c>
      <c r="F527" s="7" t="s">
        <v>2247</v>
      </c>
      <c r="G527" s="7" t="s">
        <v>1871</v>
      </c>
      <c r="H527" s="7">
        <v>98395543</v>
      </c>
      <c r="I527" s="7">
        <v>9</v>
      </c>
      <c r="J527" s="7" t="s">
        <v>2248</v>
      </c>
      <c r="K527" s="8">
        <v>40000000</v>
      </c>
      <c r="L527" s="7" t="s">
        <v>1898</v>
      </c>
      <c r="M527" s="7" t="s">
        <v>1973</v>
      </c>
      <c r="N527" s="7" t="s">
        <v>2197</v>
      </c>
      <c r="O527" s="7"/>
      <c r="P527" s="13" t="s">
        <v>2249</v>
      </c>
    </row>
    <row r="528" spans="1:16" ht="30" x14ac:dyDescent="0.25">
      <c r="A528" s="7" t="s">
        <v>1929</v>
      </c>
      <c r="B528" s="7" t="str">
        <f>"0295"</f>
        <v>0295</v>
      </c>
      <c r="C528" s="7">
        <v>2020</v>
      </c>
      <c r="D528" s="7" t="s">
        <v>1867</v>
      </c>
      <c r="E528" s="7" t="s">
        <v>1875</v>
      </c>
      <c r="F528" s="7" t="s">
        <v>1932</v>
      </c>
      <c r="G528" s="7" t="s">
        <v>1871</v>
      </c>
      <c r="H528" s="7">
        <v>1085305263</v>
      </c>
      <c r="I528" s="7">
        <v>0</v>
      </c>
      <c r="J528" s="7" t="s">
        <v>2250</v>
      </c>
      <c r="K528" s="8">
        <v>21200000</v>
      </c>
      <c r="L528" s="7" t="s">
        <v>1898</v>
      </c>
      <c r="M528" s="7" t="s">
        <v>2016</v>
      </c>
      <c r="N528" s="7" t="s">
        <v>2197</v>
      </c>
      <c r="O528" s="7"/>
      <c r="P528" s="13" t="s">
        <v>2251</v>
      </c>
    </row>
    <row r="529" spans="1:16" ht="30" x14ac:dyDescent="0.25">
      <c r="A529" s="7" t="s">
        <v>1929</v>
      </c>
      <c r="B529" s="7" t="str">
        <f>"0296"</f>
        <v>0296</v>
      </c>
      <c r="C529" s="7">
        <v>2020</v>
      </c>
      <c r="D529" s="7" t="s">
        <v>1867</v>
      </c>
      <c r="E529" s="7" t="s">
        <v>1868</v>
      </c>
      <c r="F529" s="7" t="s">
        <v>2252</v>
      </c>
      <c r="G529" s="7" t="s">
        <v>1871</v>
      </c>
      <c r="H529" s="7">
        <v>36954308</v>
      </c>
      <c r="I529" s="7">
        <v>8</v>
      </c>
      <c r="J529" s="7" t="s">
        <v>2253</v>
      </c>
      <c r="K529" s="8">
        <v>27515904</v>
      </c>
      <c r="L529" s="7" t="s">
        <v>1898</v>
      </c>
      <c r="M529" s="7" t="s">
        <v>1973</v>
      </c>
      <c r="N529" s="7" t="s">
        <v>2197</v>
      </c>
      <c r="O529" s="7"/>
      <c r="P529" s="13" t="s">
        <v>2254</v>
      </c>
    </row>
    <row r="530" spans="1:16" ht="30" x14ac:dyDescent="0.25">
      <c r="A530" s="7" t="s">
        <v>1929</v>
      </c>
      <c r="B530" s="7" t="str">
        <f>"0299"</f>
        <v>0299</v>
      </c>
      <c r="C530" s="7">
        <v>2020</v>
      </c>
      <c r="D530" s="7" t="s">
        <v>1867</v>
      </c>
      <c r="E530" s="7" t="s">
        <v>1989</v>
      </c>
      <c r="F530" s="7" t="s">
        <v>2259</v>
      </c>
      <c r="G530" s="7" t="s">
        <v>1871</v>
      </c>
      <c r="H530" s="7">
        <v>12979339</v>
      </c>
      <c r="I530" s="7">
        <v>7</v>
      </c>
      <c r="J530" s="7" t="s">
        <v>2260</v>
      </c>
      <c r="K530" s="8">
        <v>27515904</v>
      </c>
      <c r="L530" s="7" t="s">
        <v>1898</v>
      </c>
      <c r="M530" s="7" t="s">
        <v>2239</v>
      </c>
      <c r="N530" s="7" t="s">
        <v>2197</v>
      </c>
      <c r="O530" s="7"/>
      <c r="P530" s="13" t="s">
        <v>2261</v>
      </c>
    </row>
    <row r="531" spans="1:16" ht="30" x14ac:dyDescent="0.25">
      <c r="A531" s="7" t="s">
        <v>1929</v>
      </c>
      <c r="B531" s="7" t="str">
        <f>"0300"</f>
        <v>0300</v>
      </c>
      <c r="C531" s="7">
        <v>2020</v>
      </c>
      <c r="D531" s="7" t="s">
        <v>1867</v>
      </c>
      <c r="E531" s="7" t="s">
        <v>1868</v>
      </c>
      <c r="F531" s="7" t="s">
        <v>2262</v>
      </c>
      <c r="G531" s="7" t="s">
        <v>1871</v>
      </c>
      <c r="H531" s="7">
        <v>98389838</v>
      </c>
      <c r="I531" s="7">
        <v>1</v>
      </c>
      <c r="J531" s="7" t="s">
        <v>2263</v>
      </c>
      <c r="K531" s="8">
        <v>27515904</v>
      </c>
      <c r="L531" s="7" t="s">
        <v>1898</v>
      </c>
      <c r="M531" s="7" t="s">
        <v>2257</v>
      </c>
      <c r="N531" s="7" t="s">
        <v>2197</v>
      </c>
      <c r="O531" s="7"/>
      <c r="P531" s="13" t="s">
        <v>2264</v>
      </c>
    </row>
    <row r="532" spans="1:16" ht="30" x14ac:dyDescent="0.25">
      <c r="A532" s="7" t="s">
        <v>1929</v>
      </c>
      <c r="B532" s="7" t="str">
        <f>"0302"</f>
        <v>0302</v>
      </c>
      <c r="C532" s="7">
        <v>2020</v>
      </c>
      <c r="D532" s="7" t="s">
        <v>1867</v>
      </c>
      <c r="E532" s="7" t="s">
        <v>1868</v>
      </c>
      <c r="F532" s="7" t="s">
        <v>2268</v>
      </c>
      <c r="G532" s="7" t="s">
        <v>1871</v>
      </c>
      <c r="H532" s="7">
        <v>87066544</v>
      </c>
      <c r="I532" s="7">
        <v>5</v>
      </c>
      <c r="J532" s="7" t="s">
        <v>2269</v>
      </c>
      <c r="K532" s="8">
        <v>27515904</v>
      </c>
      <c r="L532" s="7" t="s">
        <v>1898</v>
      </c>
      <c r="M532" s="7" t="s">
        <v>2257</v>
      </c>
      <c r="N532" s="7" t="s">
        <v>2197</v>
      </c>
      <c r="O532" s="7"/>
      <c r="P532" s="13" t="s">
        <v>2270</v>
      </c>
    </row>
    <row r="533" spans="1:16" ht="30" x14ac:dyDescent="0.25">
      <c r="A533" s="7" t="s">
        <v>1929</v>
      </c>
      <c r="B533" s="7" t="str">
        <f>"0308"</f>
        <v>0308</v>
      </c>
      <c r="C533" s="7">
        <v>2020</v>
      </c>
      <c r="D533" s="7" t="s">
        <v>1867</v>
      </c>
      <c r="E533" s="7" t="s">
        <v>1875</v>
      </c>
      <c r="F533" s="7" t="s">
        <v>2280</v>
      </c>
      <c r="G533" s="7" t="s">
        <v>1871</v>
      </c>
      <c r="H533" s="7">
        <v>1086139102</v>
      </c>
      <c r="I533" s="7">
        <v>5</v>
      </c>
      <c r="J533" s="7" t="s">
        <v>1933</v>
      </c>
      <c r="K533" s="8">
        <v>15264000</v>
      </c>
      <c r="L533" s="7" t="s">
        <v>1898</v>
      </c>
      <c r="M533" s="7" t="s">
        <v>2204</v>
      </c>
      <c r="N533" s="7" t="s">
        <v>2197</v>
      </c>
      <c r="O533" s="7"/>
      <c r="P533" s="13" t="s">
        <v>2281</v>
      </c>
    </row>
    <row r="534" spans="1:16" ht="30" x14ac:dyDescent="0.25">
      <c r="A534" s="7" t="s">
        <v>1929</v>
      </c>
      <c r="B534" s="7" t="str">
        <f>"0309"</f>
        <v>0309</v>
      </c>
      <c r="C534" s="7">
        <v>2020</v>
      </c>
      <c r="D534" s="7" t="s">
        <v>1867</v>
      </c>
      <c r="E534" s="7" t="s">
        <v>1875</v>
      </c>
      <c r="F534" s="7" t="s">
        <v>2282</v>
      </c>
      <c r="G534" s="7" t="s">
        <v>1871</v>
      </c>
      <c r="H534" s="7">
        <v>98396934</v>
      </c>
      <c r="I534" s="7">
        <v>1</v>
      </c>
      <c r="J534" s="7" t="s">
        <v>2283</v>
      </c>
      <c r="K534" s="8">
        <v>15264000</v>
      </c>
      <c r="L534" s="7" t="s">
        <v>1898</v>
      </c>
      <c r="M534" s="7" t="s">
        <v>2284</v>
      </c>
      <c r="N534" s="7" t="s">
        <v>2197</v>
      </c>
      <c r="O534" s="7"/>
      <c r="P534" s="13" t="s">
        <v>2285</v>
      </c>
    </row>
    <row r="535" spans="1:16" ht="30" x14ac:dyDescent="0.25">
      <c r="A535" s="7" t="s">
        <v>1929</v>
      </c>
      <c r="B535" s="7" t="str">
        <f>"0310"</f>
        <v>0310</v>
      </c>
      <c r="C535" s="7">
        <v>2020</v>
      </c>
      <c r="D535" s="7" t="s">
        <v>1867</v>
      </c>
      <c r="E535" s="7" t="s">
        <v>1875</v>
      </c>
      <c r="F535" s="7" t="s">
        <v>2271</v>
      </c>
      <c r="G535" s="7" t="s">
        <v>1871</v>
      </c>
      <c r="H535" s="7">
        <v>1085293887</v>
      </c>
      <c r="I535" s="7">
        <v>2</v>
      </c>
      <c r="J535" s="7" t="s">
        <v>1934</v>
      </c>
      <c r="K535" s="8">
        <v>15264000</v>
      </c>
      <c r="L535" s="7" t="s">
        <v>1898</v>
      </c>
      <c r="M535" s="7" t="s">
        <v>2235</v>
      </c>
      <c r="N535" s="7" t="s">
        <v>2197</v>
      </c>
      <c r="O535" s="7"/>
      <c r="P535" s="13" t="s">
        <v>2286</v>
      </c>
    </row>
    <row r="536" spans="1:16" ht="30" x14ac:dyDescent="0.25">
      <c r="A536" s="7" t="s">
        <v>1929</v>
      </c>
      <c r="B536" s="7" t="str">
        <f>"0311"</f>
        <v>0311</v>
      </c>
      <c r="C536" s="7">
        <v>2020</v>
      </c>
      <c r="D536" s="7" t="s">
        <v>1867</v>
      </c>
      <c r="E536" s="7" t="s">
        <v>1875</v>
      </c>
      <c r="F536" s="7" t="s">
        <v>2271</v>
      </c>
      <c r="G536" s="7" t="s">
        <v>1871</v>
      </c>
      <c r="H536" s="7">
        <v>13003329</v>
      </c>
      <c r="I536" s="7">
        <v>9</v>
      </c>
      <c r="J536" s="7" t="s">
        <v>1935</v>
      </c>
      <c r="K536" s="8">
        <v>15264000</v>
      </c>
      <c r="L536" s="7" t="s">
        <v>1898</v>
      </c>
      <c r="M536" s="7" t="s">
        <v>2284</v>
      </c>
      <c r="N536" s="7" t="s">
        <v>2197</v>
      </c>
      <c r="O536" s="7"/>
      <c r="P536" s="13" t="s">
        <v>2287</v>
      </c>
    </row>
    <row r="537" spans="1:16" ht="30" x14ac:dyDescent="0.25">
      <c r="A537" s="7" t="s">
        <v>1929</v>
      </c>
      <c r="B537" s="7" t="str">
        <f>"0312"</f>
        <v>0312</v>
      </c>
      <c r="C537" s="7">
        <v>2020</v>
      </c>
      <c r="D537" s="7" t="s">
        <v>1867</v>
      </c>
      <c r="E537" s="7" t="s">
        <v>1868</v>
      </c>
      <c r="F537" s="7" t="s">
        <v>2288</v>
      </c>
      <c r="G537" s="7" t="s">
        <v>1871</v>
      </c>
      <c r="H537" s="7">
        <v>5206345</v>
      </c>
      <c r="I537" s="7">
        <v>1</v>
      </c>
      <c r="J537" s="7" t="s">
        <v>2289</v>
      </c>
      <c r="K537" s="8">
        <v>27515904</v>
      </c>
      <c r="L537" s="7" t="s">
        <v>1898</v>
      </c>
      <c r="M537" s="7" t="s">
        <v>2173</v>
      </c>
      <c r="N537" s="7" t="s">
        <v>2197</v>
      </c>
      <c r="O537" s="7"/>
      <c r="P537" s="13" t="s">
        <v>2290</v>
      </c>
    </row>
    <row r="538" spans="1:16" ht="30" x14ac:dyDescent="0.25">
      <c r="A538" s="7" t="s">
        <v>1929</v>
      </c>
      <c r="B538" s="7" t="str">
        <f>"0313"</f>
        <v>0313</v>
      </c>
      <c r="C538" s="7">
        <v>2020</v>
      </c>
      <c r="D538" s="7" t="s">
        <v>1867</v>
      </c>
      <c r="E538" s="7" t="s">
        <v>1868</v>
      </c>
      <c r="F538" s="7" t="s">
        <v>2241</v>
      </c>
      <c r="G538" s="7" t="s">
        <v>1871</v>
      </c>
      <c r="H538" s="7">
        <v>27090810</v>
      </c>
      <c r="I538" s="7">
        <v>2</v>
      </c>
      <c r="J538" s="7" t="s">
        <v>2291</v>
      </c>
      <c r="K538" s="8">
        <v>27515904</v>
      </c>
      <c r="L538" s="7" t="s">
        <v>1898</v>
      </c>
      <c r="M538" s="7" t="s">
        <v>2116</v>
      </c>
      <c r="N538" s="7" t="s">
        <v>2197</v>
      </c>
      <c r="O538" s="7"/>
      <c r="P538" s="13" t="s">
        <v>2292</v>
      </c>
    </row>
    <row r="539" spans="1:16" ht="30" x14ac:dyDescent="0.25">
      <c r="A539" s="7" t="s">
        <v>1929</v>
      </c>
      <c r="B539" s="7" t="str">
        <f>"0316"</f>
        <v>0316</v>
      </c>
      <c r="C539" s="7">
        <v>2020</v>
      </c>
      <c r="D539" s="7" t="s">
        <v>1867</v>
      </c>
      <c r="E539" s="7" t="s">
        <v>1868</v>
      </c>
      <c r="F539" s="7" t="s">
        <v>2296</v>
      </c>
      <c r="G539" s="7" t="s">
        <v>1871</v>
      </c>
      <c r="H539" s="7">
        <v>1085660420</v>
      </c>
      <c r="I539" s="7">
        <v>1</v>
      </c>
      <c r="J539" s="7" t="s">
        <v>2297</v>
      </c>
      <c r="K539" s="8">
        <v>27515904</v>
      </c>
      <c r="L539" s="7" t="s">
        <v>1898</v>
      </c>
      <c r="M539" s="7" t="s">
        <v>2298</v>
      </c>
      <c r="N539" s="7" t="s">
        <v>2197</v>
      </c>
      <c r="O539" s="7"/>
      <c r="P539" s="13" t="s">
        <v>2299</v>
      </c>
    </row>
    <row r="540" spans="1:16" ht="30" x14ac:dyDescent="0.25">
      <c r="A540" s="7" t="s">
        <v>1929</v>
      </c>
      <c r="B540" s="7" t="str">
        <f>"0297"</f>
        <v>0297</v>
      </c>
      <c r="C540" s="7">
        <v>2020</v>
      </c>
      <c r="D540" s="7" t="s">
        <v>1867</v>
      </c>
      <c r="E540" s="7" t="s">
        <v>1868</v>
      </c>
      <c r="F540" s="7" t="s">
        <v>2255</v>
      </c>
      <c r="G540" s="7" t="s">
        <v>1871</v>
      </c>
      <c r="H540" s="7">
        <v>1085281839</v>
      </c>
      <c r="I540" s="7">
        <v>7</v>
      </c>
      <c r="J540" s="7" t="s">
        <v>2256</v>
      </c>
      <c r="K540" s="8">
        <v>27515904</v>
      </c>
      <c r="L540" s="7" t="s">
        <v>1898</v>
      </c>
      <c r="M540" s="7" t="s">
        <v>2257</v>
      </c>
      <c r="N540" s="7" t="s">
        <v>2205</v>
      </c>
      <c r="O540" s="7"/>
      <c r="P540" s="13" t="s">
        <v>2258</v>
      </c>
    </row>
    <row r="541" spans="1:16" ht="30" x14ac:dyDescent="0.25">
      <c r="A541" s="7" t="s">
        <v>1929</v>
      </c>
      <c r="B541" s="7" t="str">
        <f>"0305"</f>
        <v>0305</v>
      </c>
      <c r="C541" s="7">
        <v>2020</v>
      </c>
      <c r="D541" s="7" t="s">
        <v>1867</v>
      </c>
      <c r="E541" s="7" t="s">
        <v>1875</v>
      </c>
      <c r="F541" s="7" t="s">
        <v>2274</v>
      </c>
      <c r="G541" s="7" t="s">
        <v>1871</v>
      </c>
      <c r="H541" s="7">
        <v>87451831</v>
      </c>
      <c r="I541" s="7">
        <v>5</v>
      </c>
      <c r="J541" s="7" t="s">
        <v>2275</v>
      </c>
      <c r="K541" s="8">
        <v>15264000</v>
      </c>
      <c r="L541" s="7" t="s">
        <v>1898</v>
      </c>
      <c r="M541" s="7" t="s">
        <v>2204</v>
      </c>
      <c r="N541" s="7" t="s">
        <v>2205</v>
      </c>
      <c r="O541" s="7"/>
      <c r="P541" s="13" t="s">
        <v>2276</v>
      </c>
    </row>
    <row r="542" spans="1:16" ht="30" x14ac:dyDescent="0.25">
      <c r="A542" s="7" t="s">
        <v>1929</v>
      </c>
      <c r="B542" s="7" t="str">
        <f>"0719"</f>
        <v>0719</v>
      </c>
      <c r="C542" s="7">
        <v>2020</v>
      </c>
      <c r="D542" s="7" t="s">
        <v>1867</v>
      </c>
      <c r="E542" s="7" t="s">
        <v>1875</v>
      </c>
      <c r="F542" s="7" t="s">
        <v>2970</v>
      </c>
      <c r="G542" s="7" t="s">
        <v>1871</v>
      </c>
      <c r="H542" s="7">
        <v>1086499330</v>
      </c>
      <c r="I542" s="7">
        <v>1</v>
      </c>
      <c r="J542" s="7" t="s">
        <v>2971</v>
      </c>
      <c r="K542" s="8">
        <v>15264000</v>
      </c>
      <c r="L542" s="7" t="s">
        <v>1997</v>
      </c>
      <c r="M542" s="7" t="s">
        <v>2113</v>
      </c>
      <c r="N542" s="7" t="s">
        <v>2903</v>
      </c>
      <c r="O542" s="7"/>
      <c r="P542" s="13" t="s">
        <v>2972</v>
      </c>
    </row>
    <row r="543" spans="1:16" ht="30" x14ac:dyDescent="0.25">
      <c r="A543" s="7" t="s">
        <v>1929</v>
      </c>
      <c r="B543" s="7" t="str">
        <f>"0720"</f>
        <v>0720</v>
      </c>
      <c r="C543" s="7">
        <v>2020</v>
      </c>
      <c r="D543" s="7" t="s">
        <v>1867</v>
      </c>
      <c r="E543" s="7" t="s">
        <v>1875</v>
      </c>
      <c r="F543" s="7" t="s">
        <v>2280</v>
      </c>
      <c r="G543" s="7" t="s">
        <v>1871</v>
      </c>
      <c r="H543" s="7">
        <v>87070871</v>
      </c>
      <c r="I543" s="7">
        <v>4</v>
      </c>
      <c r="J543" s="7" t="s">
        <v>2973</v>
      </c>
      <c r="K543" s="8">
        <v>15264000</v>
      </c>
      <c r="L543" s="7" t="s">
        <v>1997</v>
      </c>
      <c r="M543" s="7" t="s">
        <v>2318</v>
      </c>
      <c r="N543" s="7" t="s">
        <v>2903</v>
      </c>
      <c r="O543" s="7"/>
      <c r="P543" s="13" t="s">
        <v>2974</v>
      </c>
    </row>
    <row r="544" spans="1:16" ht="30" x14ac:dyDescent="0.25">
      <c r="A544" s="7" t="s">
        <v>1929</v>
      </c>
      <c r="B544" s="7" t="str">
        <f>"0721"</f>
        <v>0721</v>
      </c>
      <c r="C544" s="7">
        <v>2020</v>
      </c>
      <c r="D544" s="7" t="s">
        <v>1867</v>
      </c>
      <c r="E544" s="7" t="s">
        <v>1875</v>
      </c>
      <c r="F544" s="7" t="s">
        <v>2975</v>
      </c>
      <c r="G544" s="7" t="s">
        <v>1871</v>
      </c>
      <c r="H544" s="7">
        <v>1082656590</v>
      </c>
      <c r="I544" s="7">
        <v>9</v>
      </c>
      <c r="J544" s="7" t="s">
        <v>2976</v>
      </c>
      <c r="K544" s="8">
        <v>15264000</v>
      </c>
      <c r="L544" s="7" t="s">
        <v>1997</v>
      </c>
      <c r="M544" s="7" t="s">
        <v>2284</v>
      </c>
      <c r="N544" s="7" t="s">
        <v>2903</v>
      </c>
      <c r="O544" s="7"/>
      <c r="P544" s="13" t="s">
        <v>2977</v>
      </c>
    </row>
    <row r="545" spans="1:16" ht="30" x14ac:dyDescent="0.25">
      <c r="A545" s="7" t="s">
        <v>1929</v>
      </c>
      <c r="B545" s="7" t="str">
        <f>"0723"</f>
        <v>0723</v>
      </c>
      <c r="C545" s="7">
        <v>2020</v>
      </c>
      <c r="D545" s="7" t="s">
        <v>1867</v>
      </c>
      <c r="E545" s="7" t="s">
        <v>1868</v>
      </c>
      <c r="F545" s="7" t="s">
        <v>2978</v>
      </c>
      <c r="G545" s="7" t="s">
        <v>1871</v>
      </c>
      <c r="H545" s="7">
        <v>87570776</v>
      </c>
      <c r="I545" s="7">
        <v>8</v>
      </c>
      <c r="J545" s="7" t="s">
        <v>2979</v>
      </c>
      <c r="K545" s="8">
        <v>27515904</v>
      </c>
      <c r="L545" s="7" t="s">
        <v>1997</v>
      </c>
      <c r="M545" s="7" t="s">
        <v>2171</v>
      </c>
      <c r="N545" s="7" t="s">
        <v>2903</v>
      </c>
      <c r="O545" s="7"/>
      <c r="P545" s="13" t="s">
        <v>2980</v>
      </c>
    </row>
    <row r="546" spans="1:16" ht="45" x14ac:dyDescent="0.25">
      <c r="A546" s="7" t="s">
        <v>1929</v>
      </c>
      <c r="B546" s="7" t="str">
        <f>"1409"</f>
        <v>1409</v>
      </c>
      <c r="C546" s="7">
        <v>2020</v>
      </c>
      <c r="D546" s="7" t="s">
        <v>1867</v>
      </c>
      <c r="E546" s="7" t="s">
        <v>1868</v>
      </c>
      <c r="F546" s="7" t="s">
        <v>3885</v>
      </c>
      <c r="G546" s="7" t="s">
        <v>1871</v>
      </c>
      <c r="H546" s="7">
        <v>1085314087</v>
      </c>
      <c r="I546" s="7"/>
      <c r="J546" s="7" t="s">
        <v>2136</v>
      </c>
      <c r="K546" s="8">
        <v>13757952</v>
      </c>
      <c r="L546" s="7" t="s">
        <v>3467</v>
      </c>
      <c r="M546" s="7" t="s">
        <v>3767</v>
      </c>
      <c r="N546" s="7" t="s">
        <v>3334</v>
      </c>
      <c r="O546" s="7"/>
      <c r="P546" s="13" t="s">
        <v>3886</v>
      </c>
    </row>
    <row r="547" spans="1:16" ht="45" x14ac:dyDescent="0.25">
      <c r="A547" s="7" t="s">
        <v>1929</v>
      </c>
      <c r="B547" s="7" t="str">
        <f>"1563"</f>
        <v>1563</v>
      </c>
      <c r="C547" s="7">
        <v>2020</v>
      </c>
      <c r="D547" s="7" t="s">
        <v>1867</v>
      </c>
      <c r="E547" s="7" t="s">
        <v>1868</v>
      </c>
      <c r="F547" s="7" t="s">
        <v>4138</v>
      </c>
      <c r="G547" s="7" t="s">
        <v>1871</v>
      </c>
      <c r="H547" s="7">
        <v>1088729747</v>
      </c>
      <c r="I547" s="7"/>
      <c r="J547" s="7" t="s">
        <v>2040</v>
      </c>
      <c r="K547" s="8">
        <v>22000000</v>
      </c>
      <c r="L547" s="7" t="s">
        <v>2207</v>
      </c>
      <c r="M547" s="7" t="s">
        <v>3947</v>
      </c>
      <c r="N547" s="7" t="s">
        <v>4093</v>
      </c>
      <c r="O547" s="7"/>
      <c r="P547" s="13" t="s">
        <v>4139</v>
      </c>
    </row>
    <row r="548" spans="1:16" ht="45" x14ac:dyDescent="0.25">
      <c r="A548" s="7" t="s">
        <v>1929</v>
      </c>
      <c r="B548" s="7" t="str">
        <f>"1562"</f>
        <v>1562</v>
      </c>
      <c r="C548" s="7">
        <v>2020</v>
      </c>
      <c r="D548" s="7" t="s">
        <v>1867</v>
      </c>
      <c r="E548" s="7" t="s">
        <v>1868</v>
      </c>
      <c r="F548" s="7" t="s">
        <v>4134</v>
      </c>
      <c r="G548" s="7" t="s">
        <v>1871</v>
      </c>
      <c r="H548" s="7">
        <v>98136678</v>
      </c>
      <c r="I548" s="7">
        <v>4</v>
      </c>
      <c r="J548" s="7" t="s">
        <v>4135</v>
      </c>
      <c r="K548" s="8">
        <v>13757952</v>
      </c>
      <c r="L548" s="7" t="s">
        <v>2207</v>
      </c>
      <c r="M548" s="7" t="s">
        <v>4136</v>
      </c>
      <c r="N548" s="7" t="s">
        <v>4086</v>
      </c>
      <c r="O548" s="7"/>
      <c r="P548" s="13" t="s">
        <v>4137</v>
      </c>
    </row>
    <row r="549" spans="1:16" ht="30" x14ac:dyDescent="0.25">
      <c r="A549" s="7" t="s">
        <v>1929</v>
      </c>
      <c r="B549" s="7" t="str">
        <f>"0123"</f>
        <v>0123</v>
      </c>
      <c r="C549" s="7">
        <v>2020</v>
      </c>
      <c r="D549" s="7" t="s">
        <v>1867</v>
      </c>
      <c r="E549" s="7" t="s">
        <v>1868</v>
      </c>
      <c r="F549" s="7" t="s">
        <v>1971</v>
      </c>
      <c r="G549" s="7" t="s">
        <v>1871</v>
      </c>
      <c r="H549" s="7">
        <v>30745205</v>
      </c>
      <c r="I549" s="7">
        <v>1</v>
      </c>
      <c r="J549" s="7" t="s">
        <v>1972</v>
      </c>
      <c r="K549" s="8">
        <v>88366666</v>
      </c>
      <c r="L549" s="7" t="s">
        <v>1969</v>
      </c>
      <c r="M549" s="7" t="s">
        <v>1973</v>
      </c>
      <c r="N549" s="7" t="s">
        <v>1974</v>
      </c>
      <c r="O549" s="7"/>
      <c r="P549" s="13" t="s">
        <v>1975</v>
      </c>
    </row>
    <row r="550" spans="1:16" ht="30" x14ac:dyDescent="0.25">
      <c r="A550" s="7" t="s">
        <v>1905</v>
      </c>
      <c r="B550" s="7" t="str">
        <f>"0040"</f>
        <v>0040</v>
      </c>
      <c r="C550" s="7">
        <v>2020</v>
      </c>
      <c r="D550" s="7" t="s">
        <v>1867</v>
      </c>
      <c r="E550" s="7" t="s">
        <v>1868</v>
      </c>
      <c r="F550" s="7" t="s">
        <v>1906</v>
      </c>
      <c r="G550" s="7" t="s">
        <v>1871</v>
      </c>
      <c r="H550" s="7">
        <v>87060112</v>
      </c>
      <c r="I550" s="7">
        <v>1</v>
      </c>
      <c r="J550" s="7" t="s">
        <v>1907</v>
      </c>
      <c r="K550" s="8">
        <v>52000000</v>
      </c>
      <c r="L550" s="7" t="s">
        <v>1870</v>
      </c>
      <c r="M550" s="7" t="s">
        <v>1908</v>
      </c>
      <c r="N550" s="7" t="s">
        <v>1909</v>
      </c>
      <c r="O550" s="7" t="s">
        <v>1910</v>
      </c>
      <c r="P550" s="13" t="s">
        <v>1911</v>
      </c>
    </row>
    <row r="551" spans="1:16" ht="30" x14ac:dyDescent="0.25">
      <c r="A551" s="7" t="s">
        <v>1905</v>
      </c>
      <c r="B551" s="7" t="str">
        <f>"0041"</f>
        <v>0041</v>
      </c>
      <c r="C551" s="7">
        <v>2020</v>
      </c>
      <c r="D551" s="7" t="s">
        <v>1867</v>
      </c>
      <c r="E551" s="7" t="s">
        <v>1868</v>
      </c>
      <c r="F551" s="7" t="s">
        <v>1912</v>
      </c>
      <c r="G551" s="7" t="s">
        <v>1871</v>
      </c>
      <c r="H551" s="7">
        <v>1010161274</v>
      </c>
      <c r="I551" s="7">
        <v>9</v>
      </c>
      <c r="J551" s="7" t="s">
        <v>1913</v>
      </c>
      <c r="K551" s="8">
        <v>52000000</v>
      </c>
      <c r="L551" s="7" t="s">
        <v>1870</v>
      </c>
      <c r="M551" s="7" t="s">
        <v>1914</v>
      </c>
      <c r="N551" s="7" t="s">
        <v>1915</v>
      </c>
      <c r="O551" s="7"/>
      <c r="P551" s="13" t="s">
        <v>1916</v>
      </c>
    </row>
    <row r="552" spans="1:16" ht="30" x14ac:dyDescent="0.25">
      <c r="A552" s="7" t="s">
        <v>1905</v>
      </c>
      <c r="B552" s="7" t="str">
        <f>"0350"</f>
        <v>0350</v>
      </c>
      <c r="C552" s="7">
        <v>2020</v>
      </c>
      <c r="D552" s="7" t="s">
        <v>1867</v>
      </c>
      <c r="E552" s="7" t="s">
        <v>1868</v>
      </c>
      <c r="F552" s="7" t="s">
        <v>2374</v>
      </c>
      <c r="G552" s="7" t="s">
        <v>1871</v>
      </c>
      <c r="H552" s="7">
        <v>1233192730</v>
      </c>
      <c r="I552" s="7">
        <v>8</v>
      </c>
      <c r="J552" s="7" t="s">
        <v>2375</v>
      </c>
      <c r="K552" s="8">
        <v>27515904</v>
      </c>
      <c r="L552" s="7" t="s">
        <v>1898</v>
      </c>
      <c r="M552" s="7" t="s">
        <v>2239</v>
      </c>
      <c r="N552" s="7" t="s">
        <v>2197</v>
      </c>
      <c r="O552" s="7" t="s">
        <v>2376</v>
      </c>
      <c r="P552" s="13" t="s">
        <v>2377</v>
      </c>
    </row>
    <row r="553" spans="1:16" ht="30" x14ac:dyDescent="0.25">
      <c r="A553" s="7" t="s">
        <v>1905</v>
      </c>
      <c r="B553" s="7" t="str">
        <f>"0351"</f>
        <v>0351</v>
      </c>
      <c r="C553" s="7">
        <v>2020</v>
      </c>
      <c r="D553" s="7" t="s">
        <v>1867</v>
      </c>
      <c r="E553" s="7" t="s">
        <v>1868</v>
      </c>
      <c r="F553" s="7" t="s">
        <v>2378</v>
      </c>
      <c r="G553" s="7" t="s">
        <v>1871</v>
      </c>
      <c r="H553" s="7">
        <v>37123436</v>
      </c>
      <c r="I553" s="7">
        <v>0</v>
      </c>
      <c r="J553" s="7" t="s">
        <v>2379</v>
      </c>
      <c r="K553" s="8">
        <v>27515904</v>
      </c>
      <c r="L553" s="7" t="s">
        <v>1898</v>
      </c>
      <c r="M553" s="7" t="s">
        <v>2350</v>
      </c>
      <c r="N553" s="7" t="s">
        <v>2197</v>
      </c>
      <c r="O553" s="7"/>
      <c r="P553" s="13" t="s">
        <v>2380</v>
      </c>
    </row>
    <row r="554" spans="1:16" ht="30" x14ac:dyDescent="0.25">
      <c r="A554" s="7" t="s">
        <v>1905</v>
      </c>
      <c r="B554" s="7" t="str">
        <f>"0420"</f>
        <v>0420</v>
      </c>
      <c r="C554" s="7">
        <v>2020</v>
      </c>
      <c r="D554" s="7" t="s">
        <v>1867</v>
      </c>
      <c r="E554" s="7" t="s">
        <v>1868</v>
      </c>
      <c r="F554" s="7" t="s">
        <v>2524</v>
      </c>
      <c r="G554" s="7" t="s">
        <v>1871</v>
      </c>
      <c r="H554" s="7">
        <v>1085285673</v>
      </c>
      <c r="I554" s="7">
        <v>1</v>
      </c>
      <c r="J554" s="7" t="s">
        <v>2525</v>
      </c>
      <c r="K554" s="8">
        <v>27515904</v>
      </c>
      <c r="L554" s="7" t="s">
        <v>1898</v>
      </c>
      <c r="M554" s="7" t="s">
        <v>2113</v>
      </c>
      <c r="N554" s="7" t="s">
        <v>2197</v>
      </c>
      <c r="O554" s="7"/>
      <c r="P554" s="13" t="s">
        <v>2526</v>
      </c>
    </row>
    <row r="555" spans="1:16" ht="30" x14ac:dyDescent="0.25">
      <c r="A555" s="7" t="s">
        <v>1905</v>
      </c>
      <c r="B555" s="7" t="str">
        <f>"0421"</f>
        <v>0421</v>
      </c>
      <c r="C555" s="7">
        <v>2020</v>
      </c>
      <c r="D555" s="7" t="s">
        <v>1867</v>
      </c>
      <c r="E555" s="7" t="s">
        <v>1868</v>
      </c>
      <c r="F555" s="7" t="s">
        <v>2527</v>
      </c>
      <c r="G555" s="7" t="s">
        <v>1871</v>
      </c>
      <c r="H555" s="7">
        <v>36754595</v>
      </c>
      <c r="I555" s="7">
        <v>7</v>
      </c>
      <c r="J555" s="7" t="s">
        <v>2528</v>
      </c>
      <c r="K555" s="8">
        <v>32000000</v>
      </c>
      <c r="L555" s="7" t="s">
        <v>1898</v>
      </c>
      <c r="M555" s="7" t="s">
        <v>2306</v>
      </c>
      <c r="N555" s="7" t="s">
        <v>2197</v>
      </c>
      <c r="O555" s="7"/>
      <c r="P555" s="13" t="s">
        <v>2529</v>
      </c>
    </row>
    <row r="556" spans="1:16" ht="30" x14ac:dyDescent="0.25">
      <c r="A556" s="7" t="s">
        <v>1905</v>
      </c>
      <c r="B556" s="7" t="str">
        <f>"0423"</f>
        <v>0423</v>
      </c>
      <c r="C556" s="7">
        <v>2020</v>
      </c>
      <c r="D556" s="7" t="s">
        <v>1867</v>
      </c>
      <c r="E556" s="7" t="s">
        <v>1875</v>
      </c>
      <c r="F556" s="7" t="s">
        <v>2530</v>
      </c>
      <c r="G556" s="7" t="s">
        <v>1871</v>
      </c>
      <c r="H556" s="7">
        <v>12753173</v>
      </c>
      <c r="I556" s="7">
        <v>0</v>
      </c>
      <c r="J556" s="7" t="s">
        <v>2531</v>
      </c>
      <c r="K556" s="8">
        <v>15264000</v>
      </c>
      <c r="L556" s="7" t="s">
        <v>1898</v>
      </c>
      <c r="M556" s="7" t="s">
        <v>2306</v>
      </c>
      <c r="N556" s="7" t="s">
        <v>2197</v>
      </c>
      <c r="O556" s="7"/>
      <c r="P556" s="13" t="s">
        <v>2532</v>
      </c>
    </row>
    <row r="557" spans="1:16" ht="30" x14ac:dyDescent="0.25">
      <c r="A557" s="7" t="s">
        <v>1905</v>
      </c>
      <c r="B557" s="7" t="str">
        <f>"0425"</f>
        <v>0425</v>
      </c>
      <c r="C557" s="7">
        <v>2020</v>
      </c>
      <c r="D557" s="7" t="s">
        <v>1867</v>
      </c>
      <c r="E557" s="7" t="s">
        <v>1868</v>
      </c>
      <c r="F557" s="7" t="s">
        <v>2533</v>
      </c>
      <c r="G557" s="7" t="s">
        <v>1871</v>
      </c>
      <c r="H557" s="7">
        <v>12746193</v>
      </c>
      <c r="I557" s="7">
        <v>9</v>
      </c>
      <c r="J557" s="7" t="s">
        <v>2534</v>
      </c>
      <c r="K557" s="8">
        <v>27515904</v>
      </c>
      <c r="L557" s="7" t="s">
        <v>1898</v>
      </c>
      <c r="M557" s="7" t="s">
        <v>2350</v>
      </c>
      <c r="N557" s="7" t="s">
        <v>2197</v>
      </c>
      <c r="O557" s="7"/>
      <c r="P557" s="13" t="s">
        <v>2535</v>
      </c>
    </row>
    <row r="558" spans="1:16" ht="30" x14ac:dyDescent="0.25">
      <c r="A558" s="7" t="s">
        <v>1905</v>
      </c>
      <c r="B558" s="7" t="str">
        <f>"0434"</f>
        <v>0434</v>
      </c>
      <c r="C558" s="7">
        <v>2020</v>
      </c>
      <c r="D558" s="7" t="s">
        <v>1867</v>
      </c>
      <c r="E558" s="7" t="s">
        <v>1868</v>
      </c>
      <c r="F558" s="7" t="s">
        <v>2547</v>
      </c>
      <c r="G558" s="7" t="s">
        <v>1871</v>
      </c>
      <c r="H558" s="7">
        <v>27090281</v>
      </c>
      <c r="I558" s="7">
        <v>6</v>
      </c>
      <c r="J558" s="7" t="s">
        <v>2548</v>
      </c>
      <c r="K558" s="8">
        <v>27515904</v>
      </c>
      <c r="L558" s="7" t="s">
        <v>1898</v>
      </c>
      <c r="M558" s="7" t="s">
        <v>2318</v>
      </c>
      <c r="N558" s="7" t="s">
        <v>2197</v>
      </c>
      <c r="O558" s="7" t="s">
        <v>2549</v>
      </c>
      <c r="P558" s="13" t="s">
        <v>2550</v>
      </c>
    </row>
    <row r="559" spans="1:16" ht="30" x14ac:dyDescent="0.25">
      <c r="A559" s="7" t="s">
        <v>1905</v>
      </c>
      <c r="B559" s="7" t="str">
        <f>"0437"</f>
        <v>0437</v>
      </c>
      <c r="C559" s="7">
        <v>2020</v>
      </c>
      <c r="D559" s="7" t="s">
        <v>1867</v>
      </c>
      <c r="E559" s="7" t="s">
        <v>1868</v>
      </c>
      <c r="F559" s="7" t="s">
        <v>2551</v>
      </c>
      <c r="G559" s="7" t="s">
        <v>1871</v>
      </c>
      <c r="H559" s="7">
        <v>1088651966</v>
      </c>
      <c r="I559" s="7">
        <v>3</v>
      </c>
      <c r="J559" s="7" t="s">
        <v>2552</v>
      </c>
      <c r="K559" s="8">
        <v>27515904</v>
      </c>
      <c r="L559" s="7" t="s">
        <v>1898</v>
      </c>
      <c r="M559" s="7" t="s">
        <v>2107</v>
      </c>
      <c r="N559" s="7" t="s">
        <v>2197</v>
      </c>
      <c r="O559" s="7"/>
      <c r="P559" s="13" t="s">
        <v>2553</v>
      </c>
    </row>
    <row r="560" spans="1:16" ht="30" x14ac:dyDescent="0.25">
      <c r="A560" s="7" t="s">
        <v>1905</v>
      </c>
      <c r="B560" s="7" t="str">
        <f>"0440"</f>
        <v>0440</v>
      </c>
      <c r="C560" s="7">
        <v>2020</v>
      </c>
      <c r="D560" s="7" t="s">
        <v>1867</v>
      </c>
      <c r="E560" s="7" t="s">
        <v>1875</v>
      </c>
      <c r="F560" s="7" t="s">
        <v>2558</v>
      </c>
      <c r="G560" s="7" t="s">
        <v>1871</v>
      </c>
      <c r="H560" s="7">
        <v>1087007611</v>
      </c>
      <c r="I560" s="7">
        <v>1</v>
      </c>
      <c r="J560" s="7" t="s">
        <v>2559</v>
      </c>
      <c r="K560" s="8">
        <v>21200000</v>
      </c>
      <c r="L560" s="7" t="s">
        <v>1898</v>
      </c>
      <c r="M560" s="7" t="s">
        <v>2246</v>
      </c>
      <c r="N560" s="7" t="s">
        <v>2197</v>
      </c>
      <c r="O560" s="7"/>
      <c r="P560" s="13" t="s">
        <v>2560</v>
      </c>
    </row>
    <row r="561" spans="1:16" ht="30" x14ac:dyDescent="0.25">
      <c r="A561" s="7" t="s">
        <v>1905</v>
      </c>
      <c r="B561" s="7" t="str">
        <f>"0442"</f>
        <v>0442</v>
      </c>
      <c r="C561" s="7">
        <v>2020</v>
      </c>
      <c r="D561" s="7" t="s">
        <v>1867</v>
      </c>
      <c r="E561" s="7" t="s">
        <v>1875</v>
      </c>
      <c r="F561" s="7" t="s">
        <v>2561</v>
      </c>
      <c r="G561" s="7" t="s">
        <v>1871</v>
      </c>
      <c r="H561" s="7">
        <v>1085265632</v>
      </c>
      <c r="I561" s="7">
        <v>2</v>
      </c>
      <c r="J561" s="7" t="s">
        <v>2562</v>
      </c>
      <c r="K561" s="8">
        <v>15264000</v>
      </c>
      <c r="L561" s="7" t="s">
        <v>1898</v>
      </c>
      <c r="M561" s="7" t="s">
        <v>2246</v>
      </c>
      <c r="N561" s="7" t="s">
        <v>2197</v>
      </c>
      <c r="O561" s="7"/>
      <c r="P561" s="13" t="s">
        <v>2563</v>
      </c>
    </row>
    <row r="562" spans="1:16" ht="30" x14ac:dyDescent="0.25">
      <c r="A562" s="7" t="s">
        <v>1905</v>
      </c>
      <c r="B562" s="7" t="str">
        <f>"0445"</f>
        <v>0445</v>
      </c>
      <c r="C562" s="7">
        <v>2020</v>
      </c>
      <c r="D562" s="7" t="s">
        <v>1867</v>
      </c>
      <c r="E562" s="7" t="s">
        <v>1868</v>
      </c>
      <c r="F562" s="7" t="s">
        <v>2570</v>
      </c>
      <c r="G562" s="7" t="s">
        <v>1871</v>
      </c>
      <c r="H562" s="7">
        <v>37122700</v>
      </c>
      <c r="I562" s="7">
        <v>6</v>
      </c>
      <c r="J562" s="7" t="s">
        <v>2571</v>
      </c>
      <c r="K562" s="8">
        <v>27515904</v>
      </c>
      <c r="L562" s="7" t="s">
        <v>1898</v>
      </c>
      <c r="M562" s="7" t="s">
        <v>2107</v>
      </c>
      <c r="N562" s="7" t="s">
        <v>2197</v>
      </c>
      <c r="O562" s="7" t="s">
        <v>2572</v>
      </c>
      <c r="P562" s="13" t="s">
        <v>2573</v>
      </c>
    </row>
    <row r="563" spans="1:16" ht="30" x14ac:dyDescent="0.25">
      <c r="A563" s="7" t="s">
        <v>1905</v>
      </c>
      <c r="B563" s="7" t="str">
        <f>"0494"</f>
        <v>0494</v>
      </c>
      <c r="C563" s="7">
        <v>2020</v>
      </c>
      <c r="D563" s="7" t="s">
        <v>1867</v>
      </c>
      <c r="E563" s="7" t="s">
        <v>1868</v>
      </c>
      <c r="F563" s="7" t="s">
        <v>2583</v>
      </c>
      <c r="G563" s="7" t="s">
        <v>1871</v>
      </c>
      <c r="H563" s="7">
        <v>94064935</v>
      </c>
      <c r="I563" s="7">
        <v>8</v>
      </c>
      <c r="J563" s="7" t="s">
        <v>2584</v>
      </c>
      <c r="K563" s="8">
        <v>27515904</v>
      </c>
      <c r="L563" s="7" t="s">
        <v>1898</v>
      </c>
      <c r="M563" s="7" t="s">
        <v>2152</v>
      </c>
      <c r="N563" s="7" t="s">
        <v>2197</v>
      </c>
      <c r="O563" s="7" t="s">
        <v>2585</v>
      </c>
      <c r="P563" s="13" t="s">
        <v>2586</v>
      </c>
    </row>
    <row r="564" spans="1:16" ht="30" x14ac:dyDescent="0.25">
      <c r="A564" s="7" t="s">
        <v>1905</v>
      </c>
      <c r="B564" s="7" t="str">
        <f>"0495"</f>
        <v>0495</v>
      </c>
      <c r="C564" s="7">
        <v>2020</v>
      </c>
      <c r="D564" s="7" t="s">
        <v>1867</v>
      </c>
      <c r="E564" s="7" t="s">
        <v>1868</v>
      </c>
      <c r="F564" s="7" t="s">
        <v>2587</v>
      </c>
      <c r="G564" s="7" t="s">
        <v>1871</v>
      </c>
      <c r="H564" s="7">
        <v>98428249</v>
      </c>
      <c r="I564" s="7">
        <v>1</v>
      </c>
      <c r="J564" s="7" t="s">
        <v>2588</v>
      </c>
      <c r="K564" s="8">
        <v>27515904</v>
      </c>
      <c r="L564" s="7" t="s">
        <v>1898</v>
      </c>
      <c r="M564" s="7" t="s">
        <v>2152</v>
      </c>
      <c r="N564" s="7" t="s">
        <v>2197</v>
      </c>
      <c r="O564" s="7" t="s">
        <v>2376</v>
      </c>
      <c r="P564" s="13" t="s">
        <v>2589</v>
      </c>
    </row>
    <row r="565" spans="1:16" ht="30" x14ac:dyDescent="0.25">
      <c r="A565" s="7" t="s">
        <v>1905</v>
      </c>
      <c r="B565" s="7" t="str">
        <f>"0498"</f>
        <v>0498</v>
      </c>
      <c r="C565" s="7">
        <v>2020</v>
      </c>
      <c r="D565" s="7" t="s">
        <v>1867</v>
      </c>
      <c r="E565" s="7" t="s">
        <v>1868</v>
      </c>
      <c r="F565" s="7" t="s">
        <v>2593</v>
      </c>
      <c r="G565" s="7" t="s">
        <v>1871</v>
      </c>
      <c r="H565" s="7">
        <v>87455593</v>
      </c>
      <c r="I565" s="7">
        <v>5</v>
      </c>
      <c r="J565" s="7" t="s">
        <v>2594</v>
      </c>
      <c r="K565" s="8">
        <v>27515904</v>
      </c>
      <c r="L565" s="7" t="s">
        <v>1898</v>
      </c>
      <c r="M565" s="7" t="s">
        <v>2152</v>
      </c>
      <c r="N565" s="7" t="s">
        <v>2197</v>
      </c>
      <c r="O565" s="7" t="s">
        <v>2376</v>
      </c>
      <c r="P565" s="13" t="s">
        <v>2595</v>
      </c>
    </row>
    <row r="566" spans="1:16" ht="30" x14ac:dyDescent="0.25">
      <c r="A566" s="7" t="s">
        <v>1905</v>
      </c>
      <c r="B566" s="7" t="str">
        <f>"0500"</f>
        <v>0500</v>
      </c>
      <c r="C566" s="7">
        <v>2020</v>
      </c>
      <c r="D566" s="7" t="s">
        <v>1867</v>
      </c>
      <c r="E566" s="7" t="s">
        <v>1868</v>
      </c>
      <c r="F566" s="7" t="s">
        <v>2599</v>
      </c>
      <c r="G566" s="7" t="s">
        <v>1871</v>
      </c>
      <c r="H566" s="7">
        <v>87454890</v>
      </c>
      <c r="I566" s="7">
        <v>3</v>
      </c>
      <c r="J566" s="7" t="s">
        <v>2600</v>
      </c>
      <c r="K566" s="8">
        <v>27515904</v>
      </c>
      <c r="L566" s="7" t="s">
        <v>1898</v>
      </c>
      <c r="M566" s="7" t="s">
        <v>2306</v>
      </c>
      <c r="N566" s="7" t="s">
        <v>2197</v>
      </c>
      <c r="O566" s="7" t="s">
        <v>2585</v>
      </c>
      <c r="P566" s="13" t="s">
        <v>2601</v>
      </c>
    </row>
    <row r="567" spans="1:16" ht="30" x14ac:dyDescent="0.25">
      <c r="A567" s="7" t="s">
        <v>1905</v>
      </c>
      <c r="B567" s="7" t="str">
        <f>"0501"</f>
        <v>0501</v>
      </c>
      <c r="C567" s="7">
        <v>2020</v>
      </c>
      <c r="D567" s="7" t="s">
        <v>1867</v>
      </c>
      <c r="E567" s="7" t="s">
        <v>1868</v>
      </c>
      <c r="F567" s="7" t="s">
        <v>2602</v>
      </c>
      <c r="G567" s="7" t="s">
        <v>1871</v>
      </c>
      <c r="H567" s="7">
        <v>13039116</v>
      </c>
      <c r="I567" s="7">
        <v>2</v>
      </c>
      <c r="J567" s="7" t="s">
        <v>2603</v>
      </c>
      <c r="K567" s="8">
        <v>32000000</v>
      </c>
      <c r="L567" s="7" t="s">
        <v>1898</v>
      </c>
      <c r="M567" s="7" t="s">
        <v>2298</v>
      </c>
      <c r="N567" s="7" t="s">
        <v>2197</v>
      </c>
      <c r="O567" s="7" t="s">
        <v>2585</v>
      </c>
      <c r="P567" s="13" t="s">
        <v>2604</v>
      </c>
    </row>
    <row r="568" spans="1:16" ht="30" x14ac:dyDescent="0.25">
      <c r="A568" s="7" t="s">
        <v>1905</v>
      </c>
      <c r="B568" s="7" t="str">
        <f>"0502"</f>
        <v>0502</v>
      </c>
      <c r="C568" s="7">
        <v>2020</v>
      </c>
      <c r="D568" s="7" t="s">
        <v>1867</v>
      </c>
      <c r="E568" s="7" t="s">
        <v>1868</v>
      </c>
      <c r="F568" s="7" t="s">
        <v>2605</v>
      </c>
      <c r="G568" s="7" t="s">
        <v>1871</v>
      </c>
      <c r="H568" s="7">
        <v>59832132</v>
      </c>
      <c r="I568" s="7">
        <v>9</v>
      </c>
      <c r="J568" s="7" t="s">
        <v>2606</v>
      </c>
      <c r="K568" s="8">
        <v>27515904</v>
      </c>
      <c r="L568" s="7" t="s">
        <v>1898</v>
      </c>
      <c r="M568" s="7" t="s">
        <v>2257</v>
      </c>
      <c r="N568" s="7" t="s">
        <v>2197</v>
      </c>
      <c r="O568" s="7" t="s">
        <v>2585</v>
      </c>
      <c r="P568" s="13" t="s">
        <v>2607</v>
      </c>
    </row>
    <row r="569" spans="1:16" ht="30" x14ac:dyDescent="0.25">
      <c r="A569" s="7" t="s">
        <v>1905</v>
      </c>
      <c r="B569" s="7" t="str">
        <f>"0503"</f>
        <v>0503</v>
      </c>
      <c r="C569" s="7">
        <v>2020</v>
      </c>
      <c r="D569" s="7" t="s">
        <v>1867</v>
      </c>
      <c r="E569" s="7" t="s">
        <v>1868</v>
      </c>
      <c r="F569" s="7" t="s">
        <v>2608</v>
      </c>
      <c r="G569" s="7" t="s">
        <v>1871</v>
      </c>
      <c r="H569" s="7">
        <v>80040857</v>
      </c>
      <c r="I569" s="7">
        <v>7</v>
      </c>
      <c r="J569" s="7" t="s">
        <v>2609</v>
      </c>
      <c r="K569" s="8">
        <v>27515904</v>
      </c>
      <c r="L569" s="7" t="s">
        <v>1898</v>
      </c>
      <c r="M569" s="7" t="s">
        <v>2122</v>
      </c>
      <c r="N569" s="7" t="s">
        <v>2197</v>
      </c>
      <c r="O569" s="7" t="s">
        <v>2610</v>
      </c>
      <c r="P569" s="13" t="s">
        <v>2611</v>
      </c>
    </row>
    <row r="570" spans="1:16" ht="30" x14ac:dyDescent="0.25">
      <c r="A570" s="7" t="s">
        <v>1905</v>
      </c>
      <c r="B570" s="7" t="str">
        <f>"0511"</f>
        <v>0511</v>
      </c>
      <c r="C570" s="7">
        <v>2020</v>
      </c>
      <c r="D570" s="7" t="s">
        <v>1867</v>
      </c>
      <c r="E570" s="7" t="s">
        <v>1868</v>
      </c>
      <c r="F570" s="7" t="s">
        <v>2621</v>
      </c>
      <c r="G570" s="7" t="s">
        <v>1871</v>
      </c>
      <c r="H570" s="7">
        <v>5344999</v>
      </c>
      <c r="I570" s="7">
        <v>7</v>
      </c>
      <c r="J570" s="7" t="s">
        <v>2622</v>
      </c>
      <c r="K570" s="8">
        <v>27515904</v>
      </c>
      <c r="L570" s="7" t="s">
        <v>1898</v>
      </c>
      <c r="M570" s="7" t="s">
        <v>2257</v>
      </c>
      <c r="N570" s="7" t="s">
        <v>2197</v>
      </c>
      <c r="O570" s="7" t="s">
        <v>2623</v>
      </c>
      <c r="P570" s="13" t="s">
        <v>2624</v>
      </c>
    </row>
    <row r="571" spans="1:16" ht="30" x14ac:dyDescent="0.25">
      <c r="A571" s="7" t="s">
        <v>1905</v>
      </c>
      <c r="B571" s="7" t="str">
        <f>"0512"</f>
        <v>0512</v>
      </c>
      <c r="C571" s="7">
        <v>2020</v>
      </c>
      <c r="D571" s="7" t="s">
        <v>1867</v>
      </c>
      <c r="E571" s="7" t="s">
        <v>1868</v>
      </c>
      <c r="F571" s="7" t="s">
        <v>2625</v>
      </c>
      <c r="G571" s="7" t="s">
        <v>1871</v>
      </c>
      <c r="H571" s="7">
        <v>1085261081</v>
      </c>
      <c r="I571" s="7">
        <v>6</v>
      </c>
      <c r="J571" s="7" t="s">
        <v>2626</v>
      </c>
      <c r="K571" s="8">
        <v>27515904</v>
      </c>
      <c r="L571" s="7" t="s">
        <v>1898</v>
      </c>
      <c r="M571" s="7" t="s">
        <v>2239</v>
      </c>
      <c r="N571" s="7" t="s">
        <v>2197</v>
      </c>
      <c r="O571" s="7" t="s">
        <v>2376</v>
      </c>
      <c r="P571" s="13" t="s">
        <v>2627</v>
      </c>
    </row>
    <row r="572" spans="1:16" ht="30" x14ac:dyDescent="0.25">
      <c r="A572" s="7" t="s">
        <v>1905</v>
      </c>
      <c r="B572" s="7" t="str">
        <f>"0513"</f>
        <v>0513</v>
      </c>
      <c r="C572" s="7">
        <v>2020</v>
      </c>
      <c r="D572" s="7" t="s">
        <v>1867</v>
      </c>
      <c r="E572" s="7" t="s">
        <v>1868</v>
      </c>
      <c r="F572" s="7" t="s">
        <v>2628</v>
      </c>
      <c r="G572" s="7" t="s">
        <v>1871</v>
      </c>
      <c r="H572" s="7">
        <v>1085292725</v>
      </c>
      <c r="I572" s="7">
        <v>3</v>
      </c>
      <c r="J572" s="7" t="s">
        <v>2629</v>
      </c>
      <c r="K572" s="8">
        <v>27515904</v>
      </c>
      <c r="L572" s="7" t="s">
        <v>1898</v>
      </c>
      <c r="M572" s="7" t="s">
        <v>2152</v>
      </c>
      <c r="N572" s="7" t="s">
        <v>2197</v>
      </c>
      <c r="O572" s="7" t="s">
        <v>2623</v>
      </c>
      <c r="P572" s="13" t="s">
        <v>2630</v>
      </c>
    </row>
    <row r="573" spans="1:16" ht="30" x14ac:dyDescent="0.25">
      <c r="A573" s="7" t="s">
        <v>1905</v>
      </c>
      <c r="B573" s="7" t="str">
        <f>"0625"</f>
        <v>0625</v>
      </c>
      <c r="C573" s="7">
        <v>2020</v>
      </c>
      <c r="D573" s="7" t="s">
        <v>1867</v>
      </c>
      <c r="E573" s="7" t="s">
        <v>1868</v>
      </c>
      <c r="F573" s="7" t="s">
        <v>2847</v>
      </c>
      <c r="G573" s="7" t="s">
        <v>1871</v>
      </c>
      <c r="H573" s="7">
        <v>12999655</v>
      </c>
      <c r="I573" s="7">
        <v>5</v>
      </c>
      <c r="J573" s="7" t="s">
        <v>2848</v>
      </c>
      <c r="K573" s="8">
        <v>33600000</v>
      </c>
      <c r="L573" s="7" t="s">
        <v>1898</v>
      </c>
      <c r="M573" s="7" t="s">
        <v>2246</v>
      </c>
      <c r="N573" s="7" t="s">
        <v>2197</v>
      </c>
      <c r="O573" s="7"/>
      <c r="P573" s="13" t="s">
        <v>2849</v>
      </c>
    </row>
    <row r="574" spans="1:16" ht="30" x14ac:dyDescent="0.25">
      <c r="A574" s="7" t="s">
        <v>1905</v>
      </c>
      <c r="B574" s="7" t="str">
        <f>"0427"</f>
        <v>0427</v>
      </c>
      <c r="C574" s="7">
        <v>2020</v>
      </c>
      <c r="D574" s="7" t="s">
        <v>1867</v>
      </c>
      <c r="E574" s="7" t="s">
        <v>1868</v>
      </c>
      <c r="F574" s="7" t="s">
        <v>2536</v>
      </c>
      <c r="G574" s="7" t="s">
        <v>1871</v>
      </c>
      <c r="H574" s="7" t="s">
        <v>2537</v>
      </c>
      <c r="I574" s="7">
        <v>6</v>
      </c>
      <c r="J574" s="7" t="s">
        <v>2538</v>
      </c>
      <c r="K574" s="8">
        <v>27515904</v>
      </c>
      <c r="L574" s="7" t="s">
        <v>1898</v>
      </c>
      <c r="M574" s="7" t="s">
        <v>2306</v>
      </c>
      <c r="N574" s="7" t="s">
        <v>2205</v>
      </c>
      <c r="O574" s="7"/>
      <c r="P574" s="13" t="s">
        <v>2539</v>
      </c>
    </row>
    <row r="575" spans="1:16" ht="30" x14ac:dyDescent="0.25">
      <c r="A575" s="7" t="s">
        <v>1905</v>
      </c>
      <c r="B575" s="7" t="str">
        <f>"0432"</f>
        <v>0432</v>
      </c>
      <c r="C575" s="7">
        <v>2020</v>
      </c>
      <c r="D575" s="7" t="s">
        <v>1867</v>
      </c>
      <c r="E575" s="7" t="s">
        <v>1868</v>
      </c>
      <c r="F575" s="7" t="s">
        <v>2544</v>
      </c>
      <c r="G575" s="7" t="s">
        <v>1871</v>
      </c>
      <c r="H575" s="7">
        <v>59819674</v>
      </c>
      <c r="I575" s="7">
        <v>5</v>
      </c>
      <c r="J575" s="7" t="s">
        <v>2545</v>
      </c>
      <c r="K575" s="8">
        <v>32000000</v>
      </c>
      <c r="L575" s="7" t="s">
        <v>1898</v>
      </c>
      <c r="M575" s="7" t="s">
        <v>2107</v>
      </c>
      <c r="N575" s="7" t="s">
        <v>2205</v>
      </c>
      <c r="O575" s="7"/>
      <c r="P575" s="13" t="s">
        <v>2546</v>
      </c>
    </row>
    <row r="576" spans="1:16" ht="30" x14ac:dyDescent="0.25">
      <c r="A576" s="7" t="s">
        <v>1905</v>
      </c>
      <c r="B576" s="7" t="str">
        <f>"0439"</f>
        <v>0439</v>
      </c>
      <c r="C576" s="7">
        <v>2020</v>
      </c>
      <c r="D576" s="7" t="s">
        <v>1867</v>
      </c>
      <c r="E576" s="7" t="s">
        <v>1868</v>
      </c>
      <c r="F576" s="7" t="s">
        <v>1919</v>
      </c>
      <c r="G576" s="7" t="s">
        <v>1871</v>
      </c>
      <c r="H576" s="7">
        <v>87060342</v>
      </c>
      <c r="I576" s="7">
        <v>7</v>
      </c>
      <c r="J576" s="7" t="s">
        <v>1920</v>
      </c>
      <c r="K576" s="8">
        <v>27515904</v>
      </c>
      <c r="L576" s="7" t="s">
        <v>1898</v>
      </c>
      <c r="M576" s="7" t="s">
        <v>2284</v>
      </c>
      <c r="N576" s="7" t="s">
        <v>2205</v>
      </c>
      <c r="O576" s="7"/>
      <c r="P576" s="13" t="s">
        <v>2557</v>
      </c>
    </row>
    <row r="577" spans="1:16" ht="30" x14ac:dyDescent="0.25">
      <c r="A577" s="7" t="s">
        <v>1905</v>
      </c>
      <c r="B577" s="7" t="str">
        <f>"0443"</f>
        <v>0443</v>
      </c>
      <c r="C577" s="7">
        <v>2020</v>
      </c>
      <c r="D577" s="7" t="s">
        <v>1867</v>
      </c>
      <c r="E577" s="7" t="s">
        <v>1868</v>
      </c>
      <c r="F577" s="7" t="s">
        <v>2564</v>
      </c>
      <c r="G577" s="7" t="s">
        <v>1871</v>
      </c>
      <c r="H577" s="7">
        <v>27144612</v>
      </c>
      <c r="I577" s="7">
        <v>4</v>
      </c>
      <c r="J577" s="7" t="s">
        <v>2565</v>
      </c>
      <c r="K577" s="8">
        <v>32000000</v>
      </c>
      <c r="L577" s="7" t="s">
        <v>1898</v>
      </c>
      <c r="M577" s="7" t="s">
        <v>2107</v>
      </c>
      <c r="N577" s="7" t="s">
        <v>2205</v>
      </c>
      <c r="O577" s="7"/>
      <c r="P577" s="13" t="s">
        <v>2566</v>
      </c>
    </row>
    <row r="578" spans="1:16" ht="30" x14ac:dyDescent="0.25">
      <c r="A578" s="7" t="s">
        <v>1905</v>
      </c>
      <c r="B578" s="7" t="str">
        <f>"0497"</f>
        <v>0497</v>
      </c>
      <c r="C578" s="7">
        <v>2020</v>
      </c>
      <c r="D578" s="7" t="s">
        <v>1867</v>
      </c>
      <c r="E578" s="7" t="s">
        <v>1868</v>
      </c>
      <c r="F578" s="7" t="s">
        <v>2590</v>
      </c>
      <c r="G578" s="7" t="s">
        <v>1871</v>
      </c>
      <c r="H578" s="7">
        <v>1085904801</v>
      </c>
      <c r="I578" s="7">
        <v>3</v>
      </c>
      <c r="J578" s="7" t="s">
        <v>2591</v>
      </c>
      <c r="K578" s="8">
        <v>27515904</v>
      </c>
      <c r="L578" s="7" t="s">
        <v>1898</v>
      </c>
      <c r="M578" s="7" t="s">
        <v>2318</v>
      </c>
      <c r="N578" s="7" t="s">
        <v>2205</v>
      </c>
      <c r="O578" s="7" t="s">
        <v>2585</v>
      </c>
      <c r="P578" s="13" t="s">
        <v>2592</v>
      </c>
    </row>
    <row r="579" spans="1:16" ht="30" x14ac:dyDescent="0.25">
      <c r="A579" s="7" t="s">
        <v>1905</v>
      </c>
      <c r="B579" s="7" t="str">
        <f>"0499"</f>
        <v>0499</v>
      </c>
      <c r="C579" s="7">
        <v>2020</v>
      </c>
      <c r="D579" s="7" t="s">
        <v>1867</v>
      </c>
      <c r="E579" s="7" t="s">
        <v>1868</v>
      </c>
      <c r="F579" s="7" t="s">
        <v>2596</v>
      </c>
      <c r="G579" s="7" t="s">
        <v>1871</v>
      </c>
      <c r="H579" s="7">
        <v>98384389</v>
      </c>
      <c r="I579" s="7">
        <v>3</v>
      </c>
      <c r="J579" s="7" t="s">
        <v>2597</v>
      </c>
      <c r="K579" s="8">
        <v>27515904</v>
      </c>
      <c r="L579" s="7" t="s">
        <v>1898</v>
      </c>
      <c r="M579" s="7" t="s">
        <v>2284</v>
      </c>
      <c r="N579" s="7" t="s">
        <v>2205</v>
      </c>
      <c r="O579" s="7" t="s">
        <v>2585</v>
      </c>
      <c r="P579" s="13" t="s">
        <v>2598</v>
      </c>
    </row>
    <row r="580" spans="1:16" ht="30" x14ac:dyDescent="0.25">
      <c r="A580" s="7" t="s">
        <v>1905</v>
      </c>
      <c r="B580" s="7" t="str">
        <f>"0506"</f>
        <v>0506</v>
      </c>
      <c r="C580" s="7">
        <v>2020</v>
      </c>
      <c r="D580" s="7" t="s">
        <v>1867</v>
      </c>
      <c r="E580" s="7" t="s">
        <v>1868</v>
      </c>
      <c r="F580" s="7" t="s">
        <v>2612</v>
      </c>
      <c r="G580" s="7" t="s">
        <v>1871</v>
      </c>
      <c r="H580" s="7">
        <v>1085264200</v>
      </c>
      <c r="I580" s="7">
        <v>1</v>
      </c>
      <c r="J580" s="7" t="s">
        <v>2613</v>
      </c>
      <c r="K580" s="8">
        <v>27515904</v>
      </c>
      <c r="L580" s="7" t="s">
        <v>1898</v>
      </c>
      <c r="M580" s="7" t="s">
        <v>2204</v>
      </c>
      <c r="N580" s="7" t="s">
        <v>2205</v>
      </c>
      <c r="O580" s="7" t="s">
        <v>2585</v>
      </c>
      <c r="P580" s="13" t="s">
        <v>2614</v>
      </c>
    </row>
    <row r="581" spans="1:16" ht="30" x14ac:dyDescent="0.25">
      <c r="A581" s="7" t="s">
        <v>1905</v>
      </c>
      <c r="B581" s="7" t="str">
        <f>"0507"</f>
        <v>0507</v>
      </c>
      <c r="C581" s="7">
        <v>2020</v>
      </c>
      <c r="D581" s="7" t="s">
        <v>1867</v>
      </c>
      <c r="E581" s="7" t="s">
        <v>1868</v>
      </c>
      <c r="F581" s="7" t="s">
        <v>2615</v>
      </c>
      <c r="G581" s="7" t="s">
        <v>1871</v>
      </c>
      <c r="H581" s="7">
        <v>1052389143</v>
      </c>
      <c r="I581" s="7">
        <v>5</v>
      </c>
      <c r="J581" s="7" t="s">
        <v>2616</v>
      </c>
      <c r="K581" s="8">
        <v>32000000</v>
      </c>
      <c r="L581" s="7" t="s">
        <v>1898</v>
      </c>
      <c r="M581" s="7" t="s">
        <v>2350</v>
      </c>
      <c r="N581" s="7" t="s">
        <v>2205</v>
      </c>
      <c r="O581" s="7"/>
      <c r="P581" s="13" t="s">
        <v>2617</v>
      </c>
    </row>
    <row r="582" spans="1:16" ht="30" x14ac:dyDescent="0.25">
      <c r="A582" s="7" t="s">
        <v>1905</v>
      </c>
      <c r="B582" s="7" t="str">
        <f>"0518"</f>
        <v>0518</v>
      </c>
      <c r="C582" s="7">
        <v>2020</v>
      </c>
      <c r="D582" s="7" t="s">
        <v>1867</v>
      </c>
      <c r="E582" s="7" t="s">
        <v>1868</v>
      </c>
      <c r="F582" s="7" t="s">
        <v>2631</v>
      </c>
      <c r="G582" s="7" t="s">
        <v>1871</v>
      </c>
      <c r="H582" s="7">
        <v>1085310893</v>
      </c>
      <c r="I582" s="7">
        <v>0</v>
      </c>
      <c r="J582" s="7" t="s">
        <v>2632</v>
      </c>
      <c r="K582" s="8">
        <v>27515904</v>
      </c>
      <c r="L582" s="7" t="s">
        <v>1898</v>
      </c>
      <c r="M582" s="7" t="s">
        <v>2417</v>
      </c>
      <c r="N582" s="7" t="s">
        <v>2205</v>
      </c>
      <c r="O582" s="7" t="s">
        <v>2585</v>
      </c>
      <c r="P582" s="13" t="s">
        <v>2633</v>
      </c>
    </row>
    <row r="583" spans="1:16" ht="30" x14ac:dyDescent="0.25">
      <c r="A583" s="7" t="s">
        <v>1905</v>
      </c>
      <c r="B583" s="7" t="str">
        <f>"0637"</f>
        <v>0637</v>
      </c>
      <c r="C583" s="7">
        <v>2020</v>
      </c>
      <c r="D583" s="7" t="s">
        <v>1867</v>
      </c>
      <c r="E583" s="7" t="s">
        <v>1868</v>
      </c>
      <c r="F583" s="7" t="s">
        <v>2873</v>
      </c>
      <c r="G583" s="7" t="s">
        <v>1871</v>
      </c>
      <c r="H583" s="7">
        <v>1085276369</v>
      </c>
      <c r="I583" s="7">
        <v>7</v>
      </c>
      <c r="J583" s="7" t="s">
        <v>2874</v>
      </c>
      <c r="K583" s="8">
        <v>27515904</v>
      </c>
      <c r="L583" s="7" t="s">
        <v>1966</v>
      </c>
      <c r="M583" s="7" t="s">
        <v>2257</v>
      </c>
      <c r="N583" s="7" t="s">
        <v>2205</v>
      </c>
      <c r="O583" s="7" t="s">
        <v>2585</v>
      </c>
      <c r="P583" s="13" t="s">
        <v>2875</v>
      </c>
    </row>
    <row r="584" spans="1:16" ht="45" x14ac:dyDescent="0.25">
      <c r="A584" s="7" t="s">
        <v>1905</v>
      </c>
      <c r="B584" s="7" t="str">
        <f>"1369"</f>
        <v>1369</v>
      </c>
      <c r="C584" s="7">
        <v>2020</v>
      </c>
      <c r="D584" s="7" t="s">
        <v>1867</v>
      </c>
      <c r="E584" s="7" t="s">
        <v>1868</v>
      </c>
      <c r="F584" s="7" t="s">
        <v>3824</v>
      </c>
      <c r="G584" s="7" t="s">
        <v>1871</v>
      </c>
      <c r="H584" s="7">
        <v>36950820</v>
      </c>
      <c r="I584" s="7">
        <v>1</v>
      </c>
      <c r="J584" s="7" t="s">
        <v>1917</v>
      </c>
      <c r="K584" s="8">
        <v>13757952</v>
      </c>
      <c r="L584" s="7" t="s">
        <v>2925</v>
      </c>
      <c r="M584" s="7" t="s">
        <v>3714</v>
      </c>
      <c r="N584" s="7" t="s">
        <v>2903</v>
      </c>
      <c r="O584" s="7"/>
      <c r="P584" s="13" t="s">
        <v>3825</v>
      </c>
    </row>
    <row r="585" spans="1:16" ht="45" x14ac:dyDescent="0.25">
      <c r="A585" s="7" t="s">
        <v>1905</v>
      </c>
      <c r="B585" s="7" t="str">
        <f>"1370"</f>
        <v>1370</v>
      </c>
      <c r="C585" s="7">
        <v>2020</v>
      </c>
      <c r="D585" s="7" t="s">
        <v>1867</v>
      </c>
      <c r="E585" s="7" t="s">
        <v>1868</v>
      </c>
      <c r="F585" s="7" t="s">
        <v>3826</v>
      </c>
      <c r="G585" s="7" t="s">
        <v>1871</v>
      </c>
      <c r="H585" s="7">
        <v>30731170</v>
      </c>
      <c r="I585" s="7">
        <v>3</v>
      </c>
      <c r="J585" s="7" t="s">
        <v>3827</v>
      </c>
      <c r="K585" s="8">
        <v>13757952</v>
      </c>
      <c r="L585" s="7" t="s">
        <v>2925</v>
      </c>
      <c r="M585" s="7" t="s">
        <v>3828</v>
      </c>
      <c r="N585" s="7" t="s">
        <v>2911</v>
      </c>
      <c r="O585" s="7"/>
      <c r="P585" s="13" t="s">
        <v>3829</v>
      </c>
    </row>
    <row r="586" spans="1:16" ht="30" x14ac:dyDescent="0.25">
      <c r="A586" s="7" t="s">
        <v>1905</v>
      </c>
      <c r="B586" s="7" t="str">
        <f>"0810"</f>
        <v>0810</v>
      </c>
      <c r="C586" s="7">
        <v>2020</v>
      </c>
      <c r="D586" s="7" t="s">
        <v>1867</v>
      </c>
      <c r="E586" s="7" t="s">
        <v>1868</v>
      </c>
      <c r="F586" s="7" t="s">
        <v>3111</v>
      </c>
      <c r="G586" s="7" t="s">
        <v>1871</v>
      </c>
      <c r="H586" s="7">
        <v>1089845567</v>
      </c>
      <c r="I586" s="7">
        <v>5</v>
      </c>
      <c r="J586" s="7" t="s">
        <v>3112</v>
      </c>
      <c r="K586" s="8">
        <v>27515904</v>
      </c>
      <c r="L586" s="7" t="s">
        <v>1982</v>
      </c>
      <c r="M586" s="7" t="s">
        <v>2350</v>
      </c>
      <c r="N586" s="7" t="s">
        <v>2822</v>
      </c>
      <c r="O586" s="7"/>
      <c r="P586" s="13" t="s">
        <v>3113</v>
      </c>
    </row>
    <row r="587" spans="1:16" ht="30" x14ac:dyDescent="0.25">
      <c r="A587" s="7" t="s">
        <v>1905</v>
      </c>
      <c r="B587" s="7" t="str">
        <f>"0812"</f>
        <v>0812</v>
      </c>
      <c r="C587" s="7">
        <v>2020</v>
      </c>
      <c r="D587" s="7" t="s">
        <v>1867</v>
      </c>
      <c r="E587" s="7" t="s">
        <v>1868</v>
      </c>
      <c r="F587" s="7" t="s">
        <v>3114</v>
      </c>
      <c r="G587" s="7" t="s">
        <v>1871</v>
      </c>
      <c r="H587" s="7">
        <v>1085301461</v>
      </c>
      <c r="I587" s="7">
        <v>4</v>
      </c>
      <c r="J587" s="7" t="s">
        <v>1979</v>
      </c>
      <c r="K587" s="8">
        <v>27515904</v>
      </c>
      <c r="L587" s="7" t="s">
        <v>2037</v>
      </c>
      <c r="M587" s="7" t="s">
        <v>2204</v>
      </c>
      <c r="N587" s="7" t="s">
        <v>2822</v>
      </c>
      <c r="O587" s="7"/>
      <c r="P587" s="13" t="s">
        <v>3115</v>
      </c>
    </row>
    <row r="588" spans="1:16" ht="30" x14ac:dyDescent="0.25">
      <c r="A588" s="7" t="s">
        <v>1905</v>
      </c>
      <c r="B588" s="7" t="str">
        <f>"0813"</f>
        <v>0813</v>
      </c>
      <c r="C588" s="7">
        <v>2020</v>
      </c>
      <c r="D588" s="7" t="s">
        <v>1867</v>
      </c>
      <c r="E588" s="7" t="s">
        <v>1868</v>
      </c>
      <c r="F588" s="7" t="s">
        <v>3116</v>
      </c>
      <c r="G588" s="7" t="s">
        <v>1871</v>
      </c>
      <c r="H588" s="7">
        <v>1085320888</v>
      </c>
      <c r="I588" s="7">
        <v>6</v>
      </c>
      <c r="J588" s="7" t="s">
        <v>3117</v>
      </c>
      <c r="K588" s="8">
        <v>27515904</v>
      </c>
      <c r="L588" s="7" t="s">
        <v>2037</v>
      </c>
      <c r="M588" s="7" t="s">
        <v>2417</v>
      </c>
      <c r="N588" s="7" t="s">
        <v>2696</v>
      </c>
      <c r="O588" s="7"/>
      <c r="P588" s="13" t="s">
        <v>3118</v>
      </c>
    </row>
    <row r="589" spans="1:16" ht="30" x14ac:dyDescent="0.25">
      <c r="A589" s="7" t="s">
        <v>1905</v>
      </c>
      <c r="B589" s="7" t="str">
        <f>"0880"</f>
        <v>0880</v>
      </c>
      <c r="C589" s="7">
        <v>2020</v>
      </c>
      <c r="D589" s="7" t="s">
        <v>1867</v>
      </c>
      <c r="E589" s="7" t="s">
        <v>1868</v>
      </c>
      <c r="F589" s="7" t="s">
        <v>3255</v>
      </c>
      <c r="G589" s="7" t="s">
        <v>1871</v>
      </c>
      <c r="H589" s="7">
        <v>12978696</v>
      </c>
      <c r="I589" s="7">
        <v>7</v>
      </c>
      <c r="J589" s="7" t="s">
        <v>3256</v>
      </c>
      <c r="K589" s="8">
        <v>32000000</v>
      </c>
      <c r="L589" s="7" t="s">
        <v>2062</v>
      </c>
      <c r="M589" s="7" t="s">
        <v>2350</v>
      </c>
      <c r="N589" s="7" t="s">
        <v>3224</v>
      </c>
      <c r="O589" s="7" t="s">
        <v>3257</v>
      </c>
      <c r="P589" s="13" t="s">
        <v>3258</v>
      </c>
    </row>
    <row r="590" spans="1:16" ht="30" x14ac:dyDescent="0.25">
      <c r="A590" s="7" t="s">
        <v>1905</v>
      </c>
      <c r="B590" s="7" t="str">
        <f>"0909"</f>
        <v>0909</v>
      </c>
      <c r="C590" s="7">
        <v>2020</v>
      </c>
      <c r="D590" s="7" t="s">
        <v>1867</v>
      </c>
      <c r="E590" s="7" t="s">
        <v>1868</v>
      </c>
      <c r="F590" s="7" t="s">
        <v>3308</v>
      </c>
      <c r="G590" s="7" t="s">
        <v>1871</v>
      </c>
      <c r="H590" s="7">
        <v>1085259498</v>
      </c>
      <c r="I590" s="7">
        <v>7</v>
      </c>
      <c r="J590" s="7" t="s">
        <v>3309</v>
      </c>
      <c r="K590" s="8">
        <v>27515904</v>
      </c>
      <c r="L590" s="7" t="s">
        <v>2016</v>
      </c>
      <c r="M590" s="7" t="s">
        <v>2350</v>
      </c>
      <c r="N590" s="7" t="s">
        <v>3279</v>
      </c>
      <c r="O590" s="7"/>
      <c r="P590" s="13" t="s">
        <v>3310</v>
      </c>
    </row>
    <row r="591" spans="1:16" ht="30" x14ac:dyDescent="0.25">
      <c r="A591" s="7" t="s">
        <v>1905</v>
      </c>
      <c r="B591" s="7" t="str">
        <f>"0917"</f>
        <v>0917</v>
      </c>
      <c r="C591" s="7">
        <v>2020</v>
      </c>
      <c r="D591" s="7" t="s">
        <v>1867</v>
      </c>
      <c r="E591" s="7" t="s">
        <v>1868</v>
      </c>
      <c r="F591" s="7" t="s">
        <v>3315</v>
      </c>
      <c r="G591" s="7" t="s">
        <v>1871</v>
      </c>
      <c r="H591" s="7">
        <v>1085308439</v>
      </c>
      <c r="I591" s="7">
        <v>3</v>
      </c>
      <c r="J591" s="7" t="s">
        <v>3316</v>
      </c>
      <c r="K591" s="8">
        <v>27515904</v>
      </c>
      <c r="L591" s="7" t="s">
        <v>2016</v>
      </c>
      <c r="M591" s="7" t="s">
        <v>2350</v>
      </c>
      <c r="N591" s="7" t="s">
        <v>3313</v>
      </c>
      <c r="O591" s="7"/>
      <c r="P591" s="13" t="s">
        <v>3317</v>
      </c>
    </row>
    <row r="592" spans="1:16" ht="30" x14ac:dyDescent="0.25">
      <c r="A592" s="7" t="s">
        <v>1905</v>
      </c>
      <c r="B592" s="7" t="str">
        <f>"0918"</f>
        <v>0918</v>
      </c>
      <c r="C592" s="7">
        <v>2020</v>
      </c>
      <c r="D592" s="7" t="s">
        <v>1867</v>
      </c>
      <c r="E592" s="7" t="s">
        <v>1868</v>
      </c>
      <c r="F592" s="7" t="s">
        <v>3318</v>
      </c>
      <c r="G592" s="7" t="s">
        <v>1871</v>
      </c>
      <c r="H592" s="7">
        <v>87065770</v>
      </c>
      <c r="I592" s="7">
        <v>9</v>
      </c>
      <c r="J592" s="7" t="s">
        <v>2000</v>
      </c>
      <c r="K592" s="8">
        <v>40000000</v>
      </c>
      <c r="L592" s="7" t="s">
        <v>2016</v>
      </c>
      <c r="M592" s="7" t="s">
        <v>2318</v>
      </c>
      <c r="N592" s="7" t="s">
        <v>3313</v>
      </c>
      <c r="O592" s="7"/>
      <c r="P592" s="13" t="s">
        <v>3319</v>
      </c>
    </row>
    <row r="593" spans="1:16" ht="30" x14ac:dyDescent="0.25">
      <c r="A593" s="7" t="s">
        <v>1905</v>
      </c>
      <c r="B593" s="7" t="str">
        <f>"0949"</f>
        <v>0949</v>
      </c>
      <c r="C593" s="7">
        <v>2020</v>
      </c>
      <c r="D593" s="7" t="s">
        <v>1867</v>
      </c>
      <c r="E593" s="7" t="s">
        <v>1868</v>
      </c>
      <c r="F593" s="7" t="s">
        <v>3335</v>
      </c>
      <c r="G593" s="7" t="s">
        <v>1871</v>
      </c>
      <c r="H593" s="7">
        <v>1085294682</v>
      </c>
      <c r="I593" s="7">
        <v>4</v>
      </c>
      <c r="J593" s="7" t="s">
        <v>3336</v>
      </c>
      <c r="K593" s="8">
        <v>27515904</v>
      </c>
      <c r="L593" s="7" t="s">
        <v>2257</v>
      </c>
      <c r="M593" s="7" t="s">
        <v>2439</v>
      </c>
      <c r="N593" s="7" t="s">
        <v>3337</v>
      </c>
      <c r="O593" s="7"/>
      <c r="P593" s="13" t="s">
        <v>3338</v>
      </c>
    </row>
    <row r="594" spans="1:16" x14ac:dyDescent="0.25">
      <c r="A594" s="7" t="s">
        <v>1905</v>
      </c>
      <c r="B594" s="7" t="str">
        <f>"0948"</f>
        <v>0948</v>
      </c>
      <c r="C594" s="7">
        <v>2020</v>
      </c>
      <c r="D594" s="7" t="s">
        <v>1867</v>
      </c>
      <c r="E594" s="7" t="s">
        <v>1868</v>
      </c>
      <c r="F594" s="7" t="s">
        <v>3332</v>
      </c>
      <c r="G594" s="7" t="s">
        <v>1871</v>
      </c>
      <c r="H594" s="7">
        <v>87574154</v>
      </c>
      <c r="I594" s="7">
        <v>5</v>
      </c>
      <c r="J594" s="7" t="s">
        <v>3333</v>
      </c>
      <c r="K594" s="8">
        <v>27515904</v>
      </c>
      <c r="L594" s="7" t="s">
        <v>2257</v>
      </c>
      <c r="M594" s="7" t="s">
        <v>2421</v>
      </c>
      <c r="N594" s="7" t="s">
        <v>3334</v>
      </c>
      <c r="O594" s="7"/>
      <c r="P594" s="13" t="s">
        <v>1993</v>
      </c>
    </row>
    <row r="595" spans="1:16" ht="30" x14ac:dyDescent="0.25">
      <c r="A595" s="7" t="s">
        <v>1905</v>
      </c>
      <c r="B595" s="7" t="str">
        <f>"0950"</f>
        <v>0950</v>
      </c>
      <c r="C595" s="7">
        <v>2020</v>
      </c>
      <c r="D595" s="7" t="s">
        <v>1867</v>
      </c>
      <c r="E595" s="7" t="s">
        <v>1868</v>
      </c>
      <c r="F595" s="7" t="s">
        <v>3339</v>
      </c>
      <c r="G595" s="7" t="s">
        <v>1871</v>
      </c>
      <c r="H595" s="7">
        <v>36934509</v>
      </c>
      <c r="I595" s="7">
        <v>6</v>
      </c>
      <c r="J595" s="7" t="s">
        <v>3340</v>
      </c>
      <c r="K595" s="8">
        <v>27515904</v>
      </c>
      <c r="L595" s="7" t="s">
        <v>2257</v>
      </c>
      <c r="M595" s="7" t="s">
        <v>2421</v>
      </c>
      <c r="N595" s="7" t="s">
        <v>3334</v>
      </c>
      <c r="O595" s="7"/>
      <c r="P595" s="13" t="s">
        <v>3341</v>
      </c>
    </row>
    <row r="596" spans="1:16" ht="30" x14ac:dyDescent="0.25">
      <c r="A596" s="7" t="s">
        <v>1905</v>
      </c>
      <c r="B596" s="7" t="str">
        <f>"1121"</f>
        <v>1121</v>
      </c>
      <c r="C596" s="7">
        <v>2020</v>
      </c>
      <c r="D596" s="7" t="s">
        <v>1867</v>
      </c>
      <c r="E596" s="7" t="s">
        <v>1868</v>
      </c>
      <c r="F596" s="7" t="s">
        <v>3600</v>
      </c>
      <c r="G596" s="7" t="s">
        <v>1871</v>
      </c>
      <c r="H596" s="7">
        <v>1085263059</v>
      </c>
      <c r="I596" s="7">
        <v>2</v>
      </c>
      <c r="J596" s="7" t="s">
        <v>3601</v>
      </c>
      <c r="K596" s="8">
        <v>27515904</v>
      </c>
      <c r="L596" s="7" t="s">
        <v>2417</v>
      </c>
      <c r="M596" s="7" t="s">
        <v>2246</v>
      </c>
      <c r="N596" s="7" t="s">
        <v>3602</v>
      </c>
      <c r="O596" s="7" t="s">
        <v>3603</v>
      </c>
      <c r="P596" s="13" t="s">
        <v>3604</v>
      </c>
    </row>
    <row r="597" spans="1:16" x14ac:dyDescent="0.25">
      <c r="A597" s="7" t="s">
        <v>1905</v>
      </c>
      <c r="B597" s="7" t="str">
        <f>"1484"</f>
        <v>1484</v>
      </c>
      <c r="C597" s="7">
        <v>2020</v>
      </c>
      <c r="D597" s="7" t="s">
        <v>1867</v>
      </c>
      <c r="E597" s="7" t="s">
        <v>1868</v>
      </c>
      <c r="F597" s="7" t="s">
        <v>3995</v>
      </c>
      <c r="G597" s="7" t="s">
        <v>1871</v>
      </c>
      <c r="H597" s="7">
        <v>1127813075</v>
      </c>
      <c r="I597" s="7">
        <v>9</v>
      </c>
      <c r="J597" s="7" t="s">
        <v>3996</v>
      </c>
      <c r="K597" s="8">
        <v>10600000</v>
      </c>
      <c r="L597" s="7" t="s">
        <v>3985</v>
      </c>
      <c r="M597" s="7" t="s">
        <v>3997</v>
      </c>
      <c r="N597" s="7" t="s">
        <v>3264</v>
      </c>
      <c r="O597" s="7"/>
      <c r="P597" s="13" t="s">
        <v>1993</v>
      </c>
    </row>
    <row r="598" spans="1:16" x14ac:dyDescent="0.25">
      <c r="A598" s="7" t="s">
        <v>1905</v>
      </c>
      <c r="B598" s="7" t="str">
        <f>"1486"</f>
        <v>1486</v>
      </c>
      <c r="C598" s="7">
        <v>2020</v>
      </c>
      <c r="D598" s="7" t="s">
        <v>1867</v>
      </c>
      <c r="E598" s="7" t="s">
        <v>1868</v>
      </c>
      <c r="F598" s="7" t="s">
        <v>3998</v>
      </c>
      <c r="G598" s="7" t="s">
        <v>1871</v>
      </c>
      <c r="H598" s="7">
        <v>1081594306</v>
      </c>
      <c r="I598" s="7">
        <v>2</v>
      </c>
      <c r="J598" s="7" t="s">
        <v>3364</v>
      </c>
      <c r="K598" s="8">
        <v>13757952</v>
      </c>
      <c r="L598" s="7" t="s">
        <v>3879</v>
      </c>
      <c r="M598" s="7" t="s">
        <v>3882</v>
      </c>
      <c r="N598" s="7" t="s">
        <v>3999</v>
      </c>
      <c r="O598" s="7"/>
      <c r="P598" s="13" t="s">
        <v>1993</v>
      </c>
    </row>
    <row r="599" spans="1:16" x14ac:dyDescent="0.25">
      <c r="A599" s="7" t="s">
        <v>1905</v>
      </c>
      <c r="B599" s="7" t="str">
        <f>"1491"</f>
        <v>1491</v>
      </c>
      <c r="C599" s="7">
        <v>2020</v>
      </c>
      <c r="D599" s="7" t="s">
        <v>1867</v>
      </c>
      <c r="E599" s="7" t="s">
        <v>1868</v>
      </c>
      <c r="F599" s="7" t="s">
        <v>4007</v>
      </c>
      <c r="G599" s="7" t="s">
        <v>1871</v>
      </c>
      <c r="H599" s="7">
        <v>94507863</v>
      </c>
      <c r="I599" s="7">
        <v>9</v>
      </c>
      <c r="J599" s="7" t="s">
        <v>1918</v>
      </c>
      <c r="K599" s="8">
        <v>13757952</v>
      </c>
      <c r="L599" s="7" t="s">
        <v>3879</v>
      </c>
      <c r="M599" s="7" t="s">
        <v>3882</v>
      </c>
      <c r="N599" s="7" t="s">
        <v>3999</v>
      </c>
      <c r="O599" s="7"/>
      <c r="P599" s="13" t="s">
        <v>1993</v>
      </c>
    </row>
    <row r="600" spans="1:16" x14ac:dyDescent="0.25">
      <c r="A600" s="7" t="s">
        <v>1905</v>
      </c>
      <c r="B600" s="7" t="str">
        <f>"1494"</f>
        <v>1494</v>
      </c>
      <c r="C600" s="7">
        <v>2020</v>
      </c>
      <c r="D600" s="7" t="s">
        <v>1867</v>
      </c>
      <c r="E600" s="7" t="s">
        <v>1868</v>
      </c>
      <c r="F600" s="7" t="s">
        <v>4010</v>
      </c>
      <c r="G600" s="7" t="s">
        <v>1871</v>
      </c>
      <c r="H600" s="7">
        <v>98138448</v>
      </c>
      <c r="I600" s="7">
        <v>4</v>
      </c>
      <c r="J600" s="7" t="s">
        <v>4011</v>
      </c>
      <c r="K600" s="8">
        <v>13757952</v>
      </c>
      <c r="L600" s="7" t="s">
        <v>3907</v>
      </c>
      <c r="M600" s="7" t="s">
        <v>3735</v>
      </c>
      <c r="N600" s="7" t="s">
        <v>4012</v>
      </c>
      <c r="O600" s="7"/>
      <c r="P600" s="13" t="s">
        <v>1993</v>
      </c>
    </row>
    <row r="601" spans="1:16" ht="45" x14ac:dyDescent="0.25">
      <c r="A601" s="7" t="s">
        <v>1905</v>
      </c>
      <c r="B601" s="7" t="str">
        <f>"1495"</f>
        <v>1495</v>
      </c>
      <c r="C601" s="7">
        <v>2020</v>
      </c>
      <c r="D601" s="7" t="s">
        <v>1867</v>
      </c>
      <c r="E601" s="7" t="s">
        <v>1868</v>
      </c>
      <c r="F601" s="7" t="s">
        <v>4013</v>
      </c>
      <c r="G601" s="7" t="s">
        <v>1871</v>
      </c>
      <c r="H601" s="7">
        <v>98349244</v>
      </c>
      <c r="I601" s="7">
        <v>0</v>
      </c>
      <c r="J601" s="7" t="s">
        <v>4014</v>
      </c>
      <c r="K601" s="8">
        <v>18074384</v>
      </c>
      <c r="L601" s="7" t="s">
        <v>3888</v>
      </c>
      <c r="M601" s="7" t="s">
        <v>3767</v>
      </c>
      <c r="N601" s="7" t="s">
        <v>4015</v>
      </c>
      <c r="O601" s="7"/>
      <c r="P601" s="13" t="s">
        <v>3954</v>
      </c>
    </row>
    <row r="602" spans="1:16" ht="45" x14ac:dyDescent="0.25">
      <c r="A602" s="7" t="s">
        <v>1905</v>
      </c>
      <c r="B602" s="7" t="str">
        <f>"1500"</f>
        <v>1500</v>
      </c>
      <c r="C602" s="7">
        <v>2020</v>
      </c>
      <c r="D602" s="7" t="s">
        <v>1867</v>
      </c>
      <c r="E602" s="7" t="s">
        <v>1868</v>
      </c>
      <c r="F602" s="7" t="s">
        <v>4025</v>
      </c>
      <c r="G602" s="7" t="s">
        <v>1871</v>
      </c>
      <c r="H602" s="7">
        <v>27091652</v>
      </c>
      <c r="I602" s="7"/>
      <c r="J602" s="7" t="s">
        <v>4026</v>
      </c>
      <c r="K602" s="8">
        <v>13757952</v>
      </c>
      <c r="L602" s="7" t="s">
        <v>3888</v>
      </c>
      <c r="M602" s="7" t="s">
        <v>3050</v>
      </c>
      <c r="N602" s="7" t="s">
        <v>4015</v>
      </c>
      <c r="O602" s="7"/>
      <c r="P602" s="13" t="s">
        <v>4027</v>
      </c>
    </row>
    <row r="603" spans="1:16" x14ac:dyDescent="0.25">
      <c r="A603" s="7" t="s">
        <v>1905</v>
      </c>
      <c r="B603" s="7" t="str">
        <f>"1510"</f>
        <v>1510</v>
      </c>
      <c r="C603" s="7">
        <v>2020</v>
      </c>
      <c r="D603" s="7" t="s">
        <v>1867</v>
      </c>
      <c r="E603" s="7" t="s">
        <v>1868</v>
      </c>
      <c r="F603" s="7" t="s">
        <v>4044</v>
      </c>
      <c r="G603" s="7" t="s">
        <v>1871</v>
      </c>
      <c r="H603" s="7">
        <v>1085247636</v>
      </c>
      <c r="I603" s="7">
        <v>5</v>
      </c>
      <c r="J603" s="7" t="s">
        <v>4045</v>
      </c>
      <c r="K603" s="8">
        <v>18232000</v>
      </c>
      <c r="L603" s="7" t="s">
        <v>3888</v>
      </c>
      <c r="M603" s="7" t="s">
        <v>3761</v>
      </c>
      <c r="N603" s="7" t="s">
        <v>4015</v>
      </c>
      <c r="O603" s="7"/>
      <c r="P603" s="13" t="s">
        <v>1993</v>
      </c>
    </row>
    <row r="604" spans="1:16" x14ac:dyDescent="0.25">
      <c r="A604" s="7" t="s">
        <v>1905</v>
      </c>
      <c r="B604" s="7" t="str">
        <f>"1512"</f>
        <v>1512</v>
      </c>
      <c r="C604" s="7">
        <v>2020</v>
      </c>
      <c r="D604" s="7" t="s">
        <v>1867</v>
      </c>
      <c r="E604" s="7" t="s">
        <v>1868</v>
      </c>
      <c r="F604" s="7" t="s">
        <v>4049</v>
      </c>
      <c r="G604" s="7" t="s">
        <v>1871</v>
      </c>
      <c r="H604" s="7">
        <v>1088729401</v>
      </c>
      <c r="I604" s="7">
        <v>1</v>
      </c>
      <c r="J604" s="7" t="s">
        <v>3553</v>
      </c>
      <c r="K604" s="8">
        <v>10600000</v>
      </c>
      <c r="L604" s="7" t="s">
        <v>3972</v>
      </c>
      <c r="M604" s="7" t="s">
        <v>3735</v>
      </c>
      <c r="N604" s="7" t="s">
        <v>4047</v>
      </c>
      <c r="O604" s="7"/>
      <c r="P604" s="13" t="s">
        <v>1993</v>
      </c>
    </row>
    <row r="605" spans="1:16" x14ac:dyDescent="0.25">
      <c r="A605" s="7" t="s">
        <v>1905</v>
      </c>
      <c r="B605" s="7" t="str">
        <f>"1513"</f>
        <v>1513</v>
      </c>
      <c r="C605" s="7">
        <v>2020</v>
      </c>
      <c r="D605" s="7" t="s">
        <v>1867</v>
      </c>
      <c r="E605" s="7" t="s">
        <v>1868</v>
      </c>
      <c r="F605" s="7" t="s">
        <v>4050</v>
      </c>
      <c r="G605" s="7" t="s">
        <v>1871</v>
      </c>
      <c r="H605" s="7">
        <v>98388172</v>
      </c>
      <c r="I605" s="7">
        <v>0</v>
      </c>
      <c r="J605" s="7" t="s">
        <v>4051</v>
      </c>
      <c r="K605" s="8">
        <v>13757952</v>
      </c>
      <c r="L605" s="7" t="s">
        <v>3972</v>
      </c>
      <c r="M605" s="7" t="s">
        <v>3735</v>
      </c>
      <c r="N605" s="7" t="s">
        <v>4047</v>
      </c>
      <c r="O605" s="7"/>
      <c r="P605" s="13" t="s">
        <v>1993</v>
      </c>
    </row>
    <row r="606" spans="1:16" x14ac:dyDescent="0.25">
      <c r="A606" s="7" t="s">
        <v>1905</v>
      </c>
      <c r="B606" s="7" t="str">
        <f>"1515"</f>
        <v>1515</v>
      </c>
      <c r="C606" s="7">
        <v>2020</v>
      </c>
      <c r="D606" s="7" t="s">
        <v>1867</v>
      </c>
      <c r="E606" s="7" t="s">
        <v>1868</v>
      </c>
      <c r="F606" s="7" t="s">
        <v>4052</v>
      </c>
      <c r="G606" s="7" t="s">
        <v>1871</v>
      </c>
      <c r="H606" s="7">
        <v>1015399202</v>
      </c>
      <c r="I606" s="7">
        <v>1</v>
      </c>
      <c r="J606" s="7" t="s">
        <v>4054</v>
      </c>
      <c r="K606" s="8">
        <v>13757952</v>
      </c>
      <c r="L606" s="7" t="s">
        <v>3972</v>
      </c>
      <c r="M606" s="7" t="s">
        <v>3735</v>
      </c>
      <c r="N606" s="7" t="s">
        <v>4047</v>
      </c>
      <c r="O606" s="7"/>
      <c r="P606" s="13" t="s">
        <v>1993</v>
      </c>
    </row>
    <row r="607" spans="1:16" x14ac:dyDescent="0.25">
      <c r="A607" s="7" t="s">
        <v>1905</v>
      </c>
      <c r="B607" s="7" t="str">
        <f>"1514"</f>
        <v>1514</v>
      </c>
      <c r="C607" s="7">
        <v>2020</v>
      </c>
      <c r="D607" s="7" t="s">
        <v>1867</v>
      </c>
      <c r="E607" s="7" t="s">
        <v>1868</v>
      </c>
      <c r="F607" s="7" t="s">
        <v>4052</v>
      </c>
      <c r="G607" s="7" t="s">
        <v>1871</v>
      </c>
      <c r="H607" s="7">
        <v>1081592463</v>
      </c>
      <c r="I607" s="7">
        <v>0</v>
      </c>
      <c r="J607" s="7" t="s">
        <v>4053</v>
      </c>
      <c r="K607" s="8">
        <v>13757952</v>
      </c>
      <c r="L607" s="7" t="s">
        <v>3972</v>
      </c>
      <c r="M607" s="7" t="s">
        <v>3832</v>
      </c>
      <c r="N607" s="7" t="s">
        <v>2155</v>
      </c>
      <c r="O607" s="7"/>
      <c r="P607" s="13" t="s">
        <v>1993</v>
      </c>
    </row>
    <row r="608" spans="1:16" x14ac:dyDescent="0.25">
      <c r="A608" s="7" t="s">
        <v>1905</v>
      </c>
      <c r="B608" s="7" t="str">
        <f>"1518"</f>
        <v>1518</v>
      </c>
      <c r="C608" s="7">
        <v>2020</v>
      </c>
      <c r="D608" s="7" t="s">
        <v>1867</v>
      </c>
      <c r="E608" s="7" t="s">
        <v>1868</v>
      </c>
      <c r="F608" s="7" t="s">
        <v>4059</v>
      </c>
      <c r="G608" s="7" t="s">
        <v>1871</v>
      </c>
      <c r="H608" s="7">
        <v>1085925925</v>
      </c>
      <c r="I608" s="7">
        <v>8</v>
      </c>
      <c r="J608" s="7" t="s">
        <v>4060</v>
      </c>
      <c r="K608" s="8">
        <v>13757952</v>
      </c>
      <c r="L608" s="7" t="s">
        <v>3997</v>
      </c>
      <c r="M608" s="7" t="s">
        <v>2117</v>
      </c>
      <c r="N608" s="7" t="s">
        <v>2155</v>
      </c>
      <c r="O608" s="7"/>
      <c r="P608" s="13" t="s">
        <v>1993</v>
      </c>
    </row>
    <row r="609" spans="1:16" x14ac:dyDescent="0.25">
      <c r="A609" s="7" t="s">
        <v>1905</v>
      </c>
      <c r="B609" s="7" t="str">
        <f>"1519"</f>
        <v>1519</v>
      </c>
      <c r="C609" s="7">
        <v>2020</v>
      </c>
      <c r="D609" s="7" t="s">
        <v>1867</v>
      </c>
      <c r="E609" s="7" t="s">
        <v>1868</v>
      </c>
      <c r="F609" s="7" t="s">
        <v>4061</v>
      </c>
      <c r="G609" s="7" t="s">
        <v>1871</v>
      </c>
      <c r="H609" s="7">
        <v>1085291867</v>
      </c>
      <c r="I609" s="7">
        <v>6</v>
      </c>
      <c r="J609" s="7" t="s">
        <v>4062</v>
      </c>
      <c r="K609" s="8">
        <v>13757952</v>
      </c>
      <c r="L609" s="7" t="s">
        <v>3997</v>
      </c>
      <c r="M609" s="7" t="s">
        <v>3816</v>
      </c>
      <c r="N609" s="7" t="s">
        <v>4063</v>
      </c>
      <c r="O609" s="7"/>
      <c r="P609" s="13" t="s">
        <v>1993</v>
      </c>
    </row>
    <row r="610" spans="1:16" x14ac:dyDescent="0.25">
      <c r="A610" s="7" t="s">
        <v>1905</v>
      </c>
      <c r="B610" s="7" t="str">
        <f>"1520"</f>
        <v>1520</v>
      </c>
      <c r="C610" s="7">
        <v>2020</v>
      </c>
      <c r="D610" s="7" t="s">
        <v>1867</v>
      </c>
      <c r="E610" s="7" t="s">
        <v>1868</v>
      </c>
      <c r="F610" s="7" t="s">
        <v>4064</v>
      </c>
      <c r="G610" s="7" t="s">
        <v>1871</v>
      </c>
      <c r="H610" s="7">
        <v>13069529</v>
      </c>
      <c r="I610" s="7">
        <v>9</v>
      </c>
      <c r="J610" s="7" t="s">
        <v>4065</v>
      </c>
      <c r="K610" s="8">
        <v>13757952</v>
      </c>
      <c r="L610" s="7" t="s">
        <v>3735</v>
      </c>
      <c r="M610" s="7" t="s">
        <v>3832</v>
      </c>
      <c r="N610" s="7" t="s">
        <v>4063</v>
      </c>
      <c r="O610" s="7"/>
      <c r="P610" s="13" t="s">
        <v>1993</v>
      </c>
    </row>
    <row r="611" spans="1:16" x14ac:dyDescent="0.25">
      <c r="A611" s="7" t="s">
        <v>1905</v>
      </c>
      <c r="B611" s="7" t="str">
        <f>"1527"</f>
        <v>1527</v>
      </c>
      <c r="C611" s="7">
        <v>2020</v>
      </c>
      <c r="D611" s="7" t="s">
        <v>1867</v>
      </c>
      <c r="E611" s="7" t="s">
        <v>1868</v>
      </c>
      <c r="F611" s="7" t="s">
        <v>4066</v>
      </c>
      <c r="G611" s="7" t="s">
        <v>1871</v>
      </c>
      <c r="H611" s="7">
        <v>30744616</v>
      </c>
      <c r="I611" s="7">
        <v>8</v>
      </c>
      <c r="J611" s="7" t="s">
        <v>4067</v>
      </c>
      <c r="K611" s="8">
        <v>13757952</v>
      </c>
      <c r="L611" s="7" t="s">
        <v>3761</v>
      </c>
      <c r="M611" s="7" t="s">
        <v>3832</v>
      </c>
      <c r="N611" s="7" t="s">
        <v>3599</v>
      </c>
      <c r="O611" s="7"/>
      <c r="P611" s="13" t="s">
        <v>1993</v>
      </c>
    </row>
    <row r="612" spans="1:16" x14ac:dyDescent="0.25">
      <c r="A612" s="7" t="s">
        <v>1905</v>
      </c>
      <c r="B612" s="7" t="str">
        <f>"1528"</f>
        <v>1528</v>
      </c>
      <c r="C612" s="7">
        <v>2020</v>
      </c>
      <c r="D612" s="7" t="s">
        <v>1867</v>
      </c>
      <c r="E612" s="7" t="s">
        <v>1868</v>
      </c>
      <c r="F612" s="7" t="s">
        <v>4068</v>
      </c>
      <c r="G612" s="7" t="s">
        <v>1871</v>
      </c>
      <c r="H612" s="7">
        <v>98390776</v>
      </c>
      <c r="I612" s="7">
        <v>5</v>
      </c>
      <c r="J612" s="7" t="s">
        <v>4069</v>
      </c>
      <c r="K612" s="8">
        <v>13757952</v>
      </c>
      <c r="L612" s="7" t="s">
        <v>3761</v>
      </c>
      <c r="M612" s="7" t="s">
        <v>1909</v>
      </c>
      <c r="N612" s="7" t="s">
        <v>3599</v>
      </c>
      <c r="O612" s="7"/>
      <c r="P612" s="13" t="s">
        <v>1993</v>
      </c>
    </row>
    <row r="613" spans="1:16" x14ac:dyDescent="0.25">
      <c r="A613" s="7" t="s">
        <v>1905</v>
      </c>
      <c r="B613" s="7" t="str">
        <f>"1529"</f>
        <v>1529</v>
      </c>
      <c r="C613" s="7">
        <v>2020</v>
      </c>
      <c r="D613" s="7" t="s">
        <v>1867</v>
      </c>
      <c r="E613" s="7" t="s">
        <v>1868</v>
      </c>
      <c r="F613" s="7" t="s">
        <v>4070</v>
      </c>
      <c r="G613" s="7" t="s">
        <v>1871</v>
      </c>
      <c r="H613" s="7">
        <v>1086102524</v>
      </c>
      <c r="I613" s="7">
        <v>1</v>
      </c>
      <c r="J613" s="7" t="s">
        <v>4071</v>
      </c>
      <c r="K613" s="8">
        <v>13757952</v>
      </c>
      <c r="L613" s="7" t="s">
        <v>3761</v>
      </c>
      <c r="M613" s="7" t="s">
        <v>3947</v>
      </c>
      <c r="N613" s="7" t="s">
        <v>3599</v>
      </c>
      <c r="O613" s="7"/>
      <c r="P613" s="13" t="s">
        <v>1993</v>
      </c>
    </row>
    <row r="614" spans="1:16" x14ac:dyDescent="0.25">
      <c r="A614" s="7" t="s">
        <v>1905</v>
      </c>
      <c r="B614" s="7" t="str">
        <f>"1531"</f>
        <v>1531</v>
      </c>
      <c r="C614" s="7">
        <v>2020</v>
      </c>
      <c r="D614" s="7" t="s">
        <v>1867</v>
      </c>
      <c r="E614" s="7" t="s">
        <v>1868</v>
      </c>
      <c r="F614" s="7" t="s">
        <v>4075</v>
      </c>
      <c r="G614" s="7" t="s">
        <v>1871</v>
      </c>
      <c r="H614" s="7">
        <v>59827189</v>
      </c>
      <c r="I614" s="7">
        <v>8</v>
      </c>
      <c r="J614" s="7" t="s">
        <v>4076</v>
      </c>
      <c r="K614" s="8">
        <v>13757952</v>
      </c>
      <c r="L614" s="7" t="s">
        <v>3761</v>
      </c>
      <c r="M614" s="7" t="s">
        <v>4077</v>
      </c>
      <c r="N614" s="7" t="s">
        <v>3599</v>
      </c>
      <c r="O614" s="7"/>
      <c r="P614" s="13" t="s">
        <v>1993</v>
      </c>
    </row>
    <row r="615" spans="1:16" ht="45" x14ac:dyDescent="0.25">
      <c r="A615" s="7" t="s">
        <v>1905</v>
      </c>
      <c r="B615" s="7" t="str">
        <f>"1403"</f>
        <v>1403</v>
      </c>
      <c r="C615" s="7">
        <v>2020</v>
      </c>
      <c r="D615" s="7" t="s">
        <v>1867</v>
      </c>
      <c r="E615" s="7" t="s">
        <v>1868</v>
      </c>
      <c r="F615" s="7" t="s">
        <v>3876</v>
      </c>
      <c r="G615" s="7" t="s">
        <v>1871</v>
      </c>
      <c r="H615" s="7">
        <v>1085262083</v>
      </c>
      <c r="I615" s="7">
        <v>5</v>
      </c>
      <c r="J615" s="7" t="s">
        <v>3877</v>
      </c>
      <c r="K615" s="8">
        <v>23682208</v>
      </c>
      <c r="L615" s="7" t="s">
        <v>1967</v>
      </c>
      <c r="M615" s="7" t="s">
        <v>3816</v>
      </c>
      <c r="N615" s="7" t="s">
        <v>2156</v>
      </c>
      <c r="O615" s="7"/>
      <c r="P615" s="13" t="s">
        <v>3878</v>
      </c>
    </row>
    <row r="616" spans="1:16" x14ac:dyDescent="0.25">
      <c r="A616" s="7" t="s">
        <v>1905</v>
      </c>
      <c r="B616" s="7" t="str">
        <f>"1530"</f>
        <v>1530</v>
      </c>
      <c r="C616" s="7">
        <v>2020</v>
      </c>
      <c r="D616" s="7" t="s">
        <v>1867</v>
      </c>
      <c r="E616" s="7" t="s">
        <v>1868</v>
      </c>
      <c r="F616" s="7" t="s">
        <v>4072</v>
      </c>
      <c r="G616" s="7" t="s">
        <v>1871</v>
      </c>
      <c r="H616" s="7">
        <v>79344824</v>
      </c>
      <c r="I616" s="7">
        <v>0</v>
      </c>
      <c r="J616" s="7" t="s">
        <v>4073</v>
      </c>
      <c r="K616" s="8">
        <v>13757952</v>
      </c>
      <c r="L616" s="7" t="s">
        <v>3761</v>
      </c>
      <c r="M616" s="7" t="s">
        <v>4074</v>
      </c>
      <c r="N616" s="7" t="s">
        <v>2156</v>
      </c>
      <c r="O616" s="7"/>
      <c r="P616" s="13" t="s">
        <v>1993</v>
      </c>
    </row>
    <row r="617" spans="1:16" x14ac:dyDescent="0.25">
      <c r="A617" s="7" t="s">
        <v>1905</v>
      </c>
      <c r="B617" s="7" t="str">
        <f>"1533"</f>
        <v>1533</v>
      </c>
      <c r="C617" s="7">
        <v>2020</v>
      </c>
      <c r="D617" s="7" t="s">
        <v>1867</v>
      </c>
      <c r="E617" s="7" t="s">
        <v>1868</v>
      </c>
      <c r="F617" s="7" t="s">
        <v>4078</v>
      </c>
      <c r="G617" s="7" t="s">
        <v>1871</v>
      </c>
      <c r="H617" s="7">
        <v>98390706</v>
      </c>
      <c r="I617" s="7">
        <v>1</v>
      </c>
      <c r="J617" s="7" t="s">
        <v>4079</v>
      </c>
      <c r="K617" s="8">
        <v>18232000</v>
      </c>
      <c r="L617" s="7" t="s">
        <v>3378</v>
      </c>
      <c r="M617" s="7" t="s">
        <v>3200</v>
      </c>
      <c r="N617" s="7" t="s">
        <v>2156</v>
      </c>
      <c r="O617" s="7"/>
      <c r="P617" s="13" t="s">
        <v>1993</v>
      </c>
    </row>
    <row r="618" spans="1:16" x14ac:dyDescent="0.25">
      <c r="A618" s="7" t="s">
        <v>1905</v>
      </c>
      <c r="B618" s="7" t="str">
        <f>"1534"</f>
        <v>1534</v>
      </c>
      <c r="C618" s="7">
        <v>2020</v>
      </c>
      <c r="D618" s="7" t="s">
        <v>1867</v>
      </c>
      <c r="E618" s="7" t="s">
        <v>1868</v>
      </c>
      <c r="F618" s="7" t="s">
        <v>4080</v>
      </c>
      <c r="G618" s="7" t="s">
        <v>1871</v>
      </c>
      <c r="H618" s="7">
        <v>16285912</v>
      </c>
      <c r="I618" s="7">
        <v>3</v>
      </c>
      <c r="J618" s="7" t="s">
        <v>4081</v>
      </c>
      <c r="K618" s="8">
        <v>18232000</v>
      </c>
      <c r="L618" s="7" t="s">
        <v>3378</v>
      </c>
      <c r="M618" s="7" t="s">
        <v>3947</v>
      </c>
      <c r="N618" s="7" t="s">
        <v>2156</v>
      </c>
      <c r="O618" s="7"/>
      <c r="P618" s="13" t="s">
        <v>1993</v>
      </c>
    </row>
    <row r="619" spans="1:16" x14ac:dyDescent="0.25">
      <c r="A619" s="7" t="s">
        <v>1905</v>
      </c>
      <c r="B619" s="7" t="str">
        <f>"1566"</f>
        <v>1566</v>
      </c>
      <c r="C619" s="7">
        <v>2020</v>
      </c>
      <c r="D619" s="7" t="s">
        <v>1867</v>
      </c>
      <c r="E619" s="7" t="s">
        <v>1868</v>
      </c>
      <c r="F619" s="7" t="s">
        <v>4144</v>
      </c>
      <c r="G619" s="7" t="s">
        <v>1871</v>
      </c>
      <c r="H619" s="7">
        <v>1032367584</v>
      </c>
      <c r="I619" s="7"/>
      <c r="J619" s="7" t="s">
        <v>4145</v>
      </c>
      <c r="K619" s="8">
        <v>13757952</v>
      </c>
      <c r="L619" s="7" t="s">
        <v>2207</v>
      </c>
      <c r="M619" s="7" t="s">
        <v>4031</v>
      </c>
      <c r="N619" s="7" t="s">
        <v>2156</v>
      </c>
      <c r="O619" s="7"/>
      <c r="P619" s="13" t="s">
        <v>1993</v>
      </c>
    </row>
    <row r="620" spans="1:16" ht="45" x14ac:dyDescent="0.25">
      <c r="A620" s="7" t="s">
        <v>1905</v>
      </c>
      <c r="B620" s="7" t="str">
        <f>"1564"</f>
        <v>1564</v>
      </c>
      <c r="C620" s="7">
        <v>2020</v>
      </c>
      <c r="D620" s="7" t="s">
        <v>1867</v>
      </c>
      <c r="E620" s="7" t="s">
        <v>1868</v>
      </c>
      <c r="F620" s="7" t="s">
        <v>4140</v>
      </c>
      <c r="G620" s="7" t="s">
        <v>1871</v>
      </c>
      <c r="H620" s="7">
        <v>6391001</v>
      </c>
      <c r="I620" s="7">
        <v>6</v>
      </c>
      <c r="J620" s="7" t="s">
        <v>4141</v>
      </c>
      <c r="K620" s="8">
        <v>17070472</v>
      </c>
      <c r="L620" s="7" t="s">
        <v>2207</v>
      </c>
      <c r="M620" s="7" t="s">
        <v>3832</v>
      </c>
      <c r="N620" s="7" t="s">
        <v>4142</v>
      </c>
      <c r="O620" s="7"/>
      <c r="P620" s="13" t="s">
        <v>4143</v>
      </c>
    </row>
    <row r="621" spans="1:16" x14ac:dyDescent="0.25">
      <c r="A621" s="7" t="s">
        <v>1905</v>
      </c>
      <c r="B621" s="7" t="str">
        <f>"1577"</f>
        <v>1577</v>
      </c>
      <c r="C621" s="7">
        <v>2020</v>
      </c>
      <c r="D621" s="7" t="s">
        <v>1867</v>
      </c>
      <c r="E621" s="7" t="s">
        <v>1868</v>
      </c>
      <c r="F621" s="7" t="s">
        <v>4166</v>
      </c>
      <c r="G621" s="7" t="s">
        <v>1871</v>
      </c>
      <c r="H621" s="7">
        <v>98392238</v>
      </c>
      <c r="I621" s="7">
        <v>3</v>
      </c>
      <c r="J621" s="7" t="s">
        <v>4167</v>
      </c>
      <c r="K621" s="8">
        <v>21200000</v>
      </c>
      <c r="L621" s="7" t="s">
        <v>3882</v>
      </c>
      <c r="M621" s="7" t="s">
        <v>3947</v>
      </c>
      <c r="N621" s="7" t="s">
        <v>4150</v>
      </c>
      <c r="O621" s="7"/>
      <c r="P621" s="13" t="s">
        <v>1993</v>
      </c>
    </row>
    <row r="622" spans="1:16" x14ac:dyDescent="0.25">
      <c r="A622" s="7" t="s">
        <v>1905</v>
      </c>
      <c r="B622" s="7" t="str">
        <f>"1586"</f>
        <v>1586</v>
      </c>
      <c r="C622" s="7">
        <v>2020</v>
      </c>
      <c r="D622" s="7" t="s">
        <v>1867</v>
      </c>
      <c r="E622" s="7" t="s">
        <v>1868</v>
      </c>
      <c r="F622" s="7" t="s">
        <v>4190</v>
      </c>
      <c r="G622" s="7" t="s">
        <v>1871</v>
      </c>
      <c r="H622" s="7">
        <v>1085297522</v>
      </c>
      <c r="I622" s="7">
        <v>8</v>
      </c>
      <c r="J622" s="7" t="s">
        <v>4191</v>
      </c>
      <c r="K622" s="8">
        <v>13757952</v>
      </c>
      <c r="L622" s="7" t="s">
        <v>3882</v>
      </c>
      <c r="M622" s="7" t="s">
        <v>4147</v>
      </c>
      <c r="N622" s="7" t="s">
        <v>4150</v>
      </c>
      <c r="O622" s="7"/>
      <c r="P622" s="13" t="s">
        <v>1993</v>
      </c>
    </row>
    <row r="623" spans="1:16" ht="45" x14ac:dyDescent="0.25">
      <c r="A623" s="7" t="s">
        <v>1905</v>
      </c>
      <c r="B623" s="7" t="str">
        <f>"1600"</f>
        <v>1600</v>
      </c>
      <c r="C623" s="7">
        <v>2020</v>
      </c>
      <c r="D623" s="7" t="s">
        <v>1867</v>
      </c>
      <c r="E623" s="7" t="s">
        <v>1868</v>
      </c>
      <c r="F623" s="7" t="s">
        <v>4209</v>
      </c>
      <c r="G623" s="7" t="s">
        <v>1871</v>
      </c>
      <c r="H623" s="7">
        <v>1144041023</v>
      </c>
      <c r="I623" s="7">
        <v>9</v>
      </c>
      <c r="J623" s="7" t="s">
        <v>2928</v>
      </c>
      <c r="K623" s="8">
        <v>8370528</v>
      </c>
      <c r="L623" s="7" t="s">
        <v>3875</v>
      </c>
      <c r="M623" s="7" t="s">
        <v>3476</v>
      </c>
      <c r="N623" s="7" t="s">
        <v>4210</v>
      </c>
      <c r="O623" s="7"/>
      <c r="P623" s="13" t="s">
        <v>4211</v>
      </c>
    </row>
    <row r="624" spans="1:16" x14ac:dyDescent="0.25">
      <c r="A624" s="7" t="s">
        <v>1905</v>
      </c>
      <c r="B624" s="7" t="str">
        <f>"1614"</f>
        <v>1614</v>
      </c>
      <c r="C624" s="7">
        <v>2020</v>
      </c>
      <c r="D624" s="7" t="s">
        <v>1867</v>
      </c>
      <c r="E624" s="7" t="s">
        <v>1875</v>
      </c>
      <c r="F624" s="7" t="s">
        <v>4230</v>
      </c>
      <c r="G624" s="7" t="s">
        <v>1871</v>
      </c>
      <c r="H624" s="7">
        <v>37082868</v>
      </c>
      <c r="I624" s="7">
        <v>5</v>
      </c>
      <c r="J624" s="7" t="s">
        <v>4231</v>
      </c>
      <c r="K624" s="8">
        <v>18232000</v>
      </c>
      <c r="L624" s="7" t="s">
        <v>3986</v>
      </c>
      <c r="M624" s="7" t="s">
        <v>2432</v>
      </c>
      <c r="N624" s="7" t="s">
        <v>4221</v>
      </c>
      <c r="O624" s="7"/>
      <c r="P624" s="13" t="s">
        <v>1993</v>
      </c>
    </row>
    <row r="625" spans="1:16" x14ac:dyDescent="0.25">
      <c r="A625" s="7" t="s">
        <v>1905</v>
      </c>
      <c r="B625" s="7" t="str">
        <f>"1634"</f>
        <v>1634</v>
      </c>
      <c r="C625" s="7">
        <v>2020</v>
      </c>
      <c r="D625" s="7" t="s">
        <v>1867</v>
      </c>
      <c r="E625" s="7" t="s">
        <v>1875</v>
      </c>
      <c r="F625" s="7" t="s">
        <v>4239</v>
      </c>
      <c r="G625" s="7" t="s">
        <v>1871</v>
      </c>
      <c r="H625" s="7">
        <v>98342941</v>
      </c>
      <c r="I625" s="7">
        <v>1</v>
      </c>
      <c r="J625" s="7" t="s">
        <v>4240</v>
      </c>
      <c r="K625" s="8">
        <v>6400000</v>
      </c>
      <c r="L625" s="7" t="s">
        <v>1909</v>
      </c>
      <c r="M625" s="7" t="s">
        <v>2070</v>
      </c>
      <c r="N625" s="7" t="s">
        <v>1974</v>
      </c>
      <c r="O625" s="7"/>
      <c r="P625" s="13" t="s">
        <v>1993</v>
      </c>
    </row>
    <row r="626" spans="1:16" x14ac:dyDescent="0.25">
      <c r="A626" s="7" t="s">
        <v>1905</v>
      </c>
      <c r="B626" s="7" t="str">
        <f>"1635"</f>
        <v>1635</v>
      </c>
      <c r="C626" s="7">
        <v>2020</v>
      </c>
      <c r="D626" s="7" t="s">
        <v>1867</v>
      </c>
      <c r="E626" s="7" t="s">
        <v>1868</v>
      </c>
      <c r="F626" s="7" t="s">
        <v>4241</v>
      </c>
      <c r="G626" s="7" t="s">
        <v>1871</v>
      </c>
      <c r="H626" s="7">
        <v>87574540</v>
      </c>
      <c r="I626" s="7">
        <v>5</v>
      </c>
      <c r="J626" s="7" t="s">
        <v>4242</v>
      </c>
      <c r="K626" s="8">
        <v>13757952</v>
      </c>
      <c r="L626" s="7" t="s">
        <v>1909</v>
      </c>
      <c r="M626" s="7" t="s">
        <v>3358</v>
      </c>
      <c r="N626" s="7" t="s">
        <v>1974</v>
      </c>
      <c r="O626" s="7"/>
      <c r="P626" s="13" t="s">
        <v>1993</v>
      </c>
    </row>
    <row r="627" spans="1:16" x14ac:dyDescent="0.25">
      <c r="A627" s="7" t="s">
        <v>1905</v>
      </c>
      <c r="B627" s="7" t="str">
        <f>"1658"</f>
        <v>1658</v>
      </c>
      <c r="C627" s="7">
        <v>2020</v>
      </c>
      <c r="D627" s="7" t="s">
        <v>1867</v>
      </c>
      <c r="E627" s="7" t="s">
        <v>1868</v>
      </c>
      <c r="F627" s="7" t="s">
        <v>4259</v>
      </c>
      <c r="G627" s="7" t="s">
        <v>1871</v>
      </c>
      <c r="H627" s="7">
        <v>36756452</v>
      </c>
      <c r="I627" s="7">
        <v>1</v>
      </c>
      <c r="J627" s="7" t="s">
        <v>4260</v>
      </c>
      <c r="K627" s="8">
        <v>13757952</v>
      </c>
      <c r="L627" s="7" t="s">
        <v>1915</v>
      </c>
      <c r="M627" s="7" t="s">
        <v>4077</v>
      </c>
      <c r="N627" s="7" t="s">
        <v>1974</v>
      </c>
      <c r="O627" s="7"/>
      <c r="P627" s="13" t="s">
        <v>1993</v>
      </c>
    </row>
    <row r="628" spans="1:16" x14ac:dyDescent="0.25">
      <c r="A628" s="7" t="s">
        <v>1905</v>
      </c>
      <c r="B628" s="7" t="str">
        <f>"1660"</f>
        <v>1660</v>
      </c>
      <c r="C628" s="7">
        <v>2020</v>
      </c>
      <c r="D628" s="7" t="s">
        <v>1867</v>
      </c>
      <c r="E628" s="7" t="s">
        <v>1868</v>
      </c>
      <c r="F628" s="7" t="s">
        <v>4261</v>
      </c>
      <c r="G628" s="7" t="s">
        <v>1871</v>
      </c>
      <c r="H628" s="7">
        <v>98325992</v>
      </c>
      <c r="I628" s="7"/>
      <c r="J628" s="7" t="s">
        <v>4262</v>
      </c>
      <c r="K628" s="8">
        <v>13757952</v>
      </c>
      <c r="L628" s="7" t="s">
        <v>1915</v>
      </c>
      <c r="M628" s="7" t="s">
        <v>4077</v>
      </c>
      <c r="N628" s="7" t="s">
        <v>1974</v>
      </c>
      <c r="O628" s="7"/>
      <c r="P628" s="13" t="s">
        <v>1993</v>
      </c>
    </row>
    <row r="629" spans="1:16" x14ac:dyDescent="0.25">
      <c r="A629" s="7" t="s">
        <v>1905</v>
      </c>
      <c r="B629" s="7" t="str">
        <f>"1689"</f>
        <v>1689</v>
      </c>
      <c r="C629" s="7">
        <v>2020</v>
      </c>
      <c r="D629" s="7" t="s">
        <v>1867</v>
      </c>
      <c r="E629" s="7" t="s">
        <v>1868</v>
      </c>
      <c r="F629" s="7" t="s">
        <v>4277</v>
      </c>
      <c r="G629" s="7" t="s">
        <v>1871</v>
      </c>
      <c r="H629" s="7">
        <v>1085259930</v>
      </c>
      <c r="I629" s="7">
        <v>8</v>
      </c>
      <c r="J629" s="7" t="s">
        <v>4278</v>
      </c>
      <c r="K629" s="8">
        <v>13757952</v>
      </c>
      <c r="L629" s="7" t="s">
        <v>3476</v>
      </c>
      <c r="M629" s="7" t="s">
        <v>4021</v>
      </c>
      <c r="N629" s="7" t="s">
        <v>1974</v>
      </c>
      <c r="O629" s="7"/>
      <c r="P629" s="13" t="s">
        <v>1993</v>
      </c>
    </row>
    <row r="630" spans="1:16" x14ac:dyDescent="0.25">
      <c r="A630" s="7" t="s">
        <v>1905</v>
      </c>
      <c r="B630" s="7" t="str">
        <f>"1748"</f>
        <v>1748</v>
      </c>
      <c r="C630" s="7">
        <v>2020</v>
      </c>
      <c r="D630" s="7" t="s">
        <v>1867</v>
      </c>
      <c r="E630" s="7" t="s">
        <v>1868</v>
      </c>
      <c r="F630" s="7" t="s">
        <v>4292</v>
      </c>
      <c r="G630" s="7" t="s">
        <v>1871</v>
      </c>
      <c r="H630" s="7">
        <v>12983667</v>
      </c>
      <c r="I630" s="7">
        <v>3</v>
      </c>
      <c r="J630" s="7" t="s">
        <v>4293</v>
      </c>
      <c r="K630" s="8">
        <v>12611456</v>
      </c>
      <c r="L630" s="7" t="s">
        <v>3947</v>
      </c>
      <c r="M630" s="7" t="s">
        <v>3272</v>
      </c>
      <c r="N630" s="7" t="s">
        <v>1974</v>
      </c>
      <c r="O630" s="7"/>
      <c r="P630" s="13" t="s">
        <v>1993</v>
      </c>
    </row>
    <row r="631" spans="1:16" x14ac:dyDescent="0.25">
      <c r="A631" s="7" t="s">
        <v>1905</v>
      </c>
      <c r="B631" s="7" t="str">
        <f>"1774"</f>
        <v>1774</v>
      </c>
      <c r="C631" s="7">
        <v>2020</v>
      </c>
      <c r="D631" s="7" t="s">
        <v>1867</v>
      </c>
      <c r="E631" s="7" t="s">
        <v>1868</v>
      </c>
      <c r="F631" s="7" t="s">
        <v>4298</v>
      </c>
      <c r="G631" s="7" t="s">
        <v>1871</v>
      </c>
      <c r="H631" s="7">
        <v>1085279688</v>
      </c>
      <c r="I631" s="7">
        <v>5</v>
      </c>
      <c r="J631" s="7" t="s">
        <v>4299</v>
      </c>
      <c r="K631" s="8">
        <v>11923558</v>
      </c>
      <c r="L631" s="7" t="s">
        <v>3200</v>
      </c>
      <c r="M631" s="7" t="s">
        <v>2432</v>
      </c>
      <c r="N631" s="7" t="s">
        <v>1974</v>
      </c>
      <c r="O631" s="7"/>
      <c r="P631" s="13" t="s">
        <v>1993</v>
      </c>
    </row>
    <row r="632" spans="1:16" x14ac:dyDescent="0.25">
      <c r="A632" s="7" t="s">
        <v>1905</v>
      </c>
      <c r="B632" s="7" t="str">
        <f>"1781"</f>
        <v>1781</v>
      </c>
      <c r="C632" s="7">
        <v>2020</v>
      </c>
      <c r="D632" s="7" t="s">
        <v>1867</v>
      </c>
      <c r="E632" s="7" t="s">
        <v>1868</v>
      </c>
      <c r="F632" s="7" t="s">
        <v>4303</v>
      </c>
      <c r="G632" s="7" t="s">
        <v>1871</v>
      </c>
      <c r="H632" s="7">
        <v>1035417551</v>
      </c>
      <c r="I632" s="7">
        <v>5</v>
      </c>
      <c r="J632" s="7" t="s">
        <v>4304</v>
      </c>
      <c r="K632" s="8">
        <v>12923558</v>
      </c>
      <c r="L632" s="7" t="s">
        <v>3200</v>
      </c>
      <c r="M632" s="7" t="s">
        <v>4116</v>
      </c>
      <c r="N632" s="7" t="s">
        <v>1974</v>
      </c>
      <c r="O632" s="7"/>
      <c r="P632" s="13" t="s">
        <v>1993</v>
      </c>
    </row>
    <row r="633" spans="1:16" x14ac:dyDescent="0.25">
      <c r="A633" s="7" t="s">
        <v>1905</v>
      </c>
      <c r="B633" s="7" t="str">
        <f>"1836"</f>
        <v>1836</v>
      </c>
      <c r="C633" s="7">
        <v>2020</v>
      </c>
      <c r="D633" s="7" t="s">
        <v>1867</v>
      </c>
      <c r="E633" s="7" t="s">
        <v>1868</v>
      </c>
      <c r="F633" s="7" t="s">
        <v>4319</v>
      </c>
      <c r="G633" s="7" t="s">
        <v>1871</v>
      </c>
      <c r="H633" s="7">
        <v>87514740</v>
      </c>
      <c r="I633" s="7">
        <v>5</v>
      </c>
      <c r="J633" s="7" t="s">
        <v>4320</v>
      </c>
      <c r="K633" s="8">
        <v>11121011</v>
      </c>
      <c r="L633" s="7" t="s">
        <v>3865</v>
      </c>
      <c r="M633" s="7" t="s">
        <v>4203</v>
      </c>
      <c r="N633" s="7" t="s">
        <v>1974</v>
      </c>
      <c r="O633" s="7"/>
      <c r="P633" s="13" t="s">
        <v>1993</v>
      </c>
    </row>
    <row r="634" spans="1:16" x14ac:dyDescent="0.25">
      <c r="A634" s="7" t="s">
        <v>1905</v>
      </c>
      <c r="B634" s="7" t="str">
        <f>"1837"</f>
        <v>1837</v>
      </c>
      <c r="C634" s="7">
        <v>2020</v>
      </c>
      <c r="D634" s="7" t="s">
        <v>1867</v>
      </c>
      <c r="E634" s="7" t="s">
        <v>1868</v>
      </c>
      <c r="F634" s="7" t="s">
        <v>4321</v>
      </c>
      <c r="G634" s="7" t="s">
        <v>1871</v>
      </c>
      <c r="H634" s="7">
        <v>34331220</v>
      </c>
      <c r="I634" s="7">
        <v>8</v>
      </c>
      <c r="J634" s="7" t="s">
        <v>4322</v>
      </c>
      <c r="K634" s="8">
        <v>11464960</v>
      </c>
      <c r="L634" s="7" t="s">
        <v>4077</v>
      </c>
      <c r="M634" s="7" t="s">
        <v>3358</v>
      </c>
      <c r="N634" s="7" t="s">
        <v>1974</v>
      </c>
      <c r="O634" s="7"/>
      <c r="P634" s="13" t="s">
        <v>1993</v>
      </c>
    </row>
    <row r="635" spans="1:16" x14ac:dyDescent="0.25">
      <c r="A635" s="7" t="s">
        <v>1905</v>
      </c>
      <c r="B635" s="7" t="str">
        <f>"1784"</f>
        <v>1784</v>
      </c>
      <c r="C635" s="7">
        <v>2020</v>
      </c>
      <c r="D635" s="7" t="s">
        <v>1867</v>
      </c>
      <c r="E635" s="7" t="s">
        <v>1868</v>
      </c>
      <c r="F635" s="7" t="s">
        <v>4305</v>
      </c>
      <c r="G635" s="7" t="s">
        <v>1871</v>
      </c>
      <c r="H635" s="7">
        <v>1010161274</v>
      </c>
      <c r="I635" s="7">
        <v>9</v>
      </c>
      <c r="J635" s="7" t="s">
        <v>4306</v>
      </c>
      <c r="K635" s="8">
        <v>26499712</v>
      </c>
      <c r="L635" s="7" t="s">
        <v>2117</v>
      </c>
      <c r="M635" s="7" t="s">
        <v>4021</v>
      </c>
      <c r="N635" s="7" t="s">
        <v>4307</v>
      </c>
      <c r="O635" s="7"/>
      <c r="P635" s="13" t="s">
        <v>1993</v>
      </c>
    </row>
    <row r="636" spans="1:16" x14ac:dyDescent="0.25">
      <c r="A636" s="7" t="s">
        <v>1905</v>
      </c>
      <c r="B636" s="7" t="str">
        <f>"1778"</f>
        <v>1778</v>
      </c>
      <c r="C636" s="7">
        <v>2020</v>
      </c>
      <c r="D636" s="7" t="s">
        <v>1867</v>
      </c>
      <c r="E636" s="7" t="s">
        <v>1868</v>
      </c>
      <c r="F636" s="7" t="s">
        <v>4300</v>
      </c>
      <c r="G636" s="7" t="s">
        <v>1871</v>
      </c>
      <c r="H636" s="7">
        <v>55305511</v>
      </c>
      <c r="I636" s="7">
        <v>2</v>
      </c>
      <c r="J636" s="7" t="s">
        <v>2924</v>
      </c>
      <c r="K636" s="8">
        <v>21822645</v>
      </c>
      <c r="L636" s="7" t="s">
        <v>3200</v>
      </c>
      <c r="M636" s="7" t="s">
        <v>3030</v>
      </c>
      <c r="N636" s="7" t="s">
        <v>4301</v>
      </c>
      <c r="O636" s="7"/>
      <c r="P636" s="13" t="s">
        <v>1993</v>
      </c>
    </row>
    <row r="637" spans="1:16" x14ac:dyDescent="0.25">
      <c r="A637" s="7" t="s">
        <v>1905</v>
      </c>
      <c r="B637" s="7" t="str">
        <f>"1766"</f>
        <v>1766</v>
      </c>
      <c r="C637" s="7">
        <v>2020</v>
      </c>
      <c r="D637" s="7" t="s">
        <v>1867</v>
      </c>
      <c r="E637" s="7" t="s">
        <v>1868</v>
      </c>
      <c r="F637" s="7" t="s">
        <v>4295</v>
      </c>
      <c r="G637" s="7" t="s">
        <v>1871</v>
      </c>
      <c r="H637" s="7">
        <v>1140855253</v>
      </c>
      <c r="I637" s="7">
        <v>5</v>
      </c>
      <c r="J637" s="7" t="s">
        <v>4296</v>
      </c>
      <c r="K637" s="8">
        <v>29602760</v>
      </c>
      <c r="L637" s="7" t="s">
        <v>2070</v>
      </c>
      <c r="M637" s="7" t="s">
        <v>3865</v>
      </c>
      <c r="N637" s="7" t="s">
        <v>4297</v>
      </c>
      <c r="O637" s="7"/>
      <c r="P637" s="13" t="s">
        <v>1993</v>
      </c>
    </row>
    <row r="638" spans="1:16" ht="30" x14ac:dyDescent="0.25">
      <c r="A638" s="7" t="s">
        <v>2042</v>
      </c>
      <c r="B638" s="7" t="str">
        <f>"0184"</f>
        <v>0184</v>
      </c>
      <c r="C638" s="7">
        <v>2020</v>
      </c>
      <c r="D638" s="7" t="s">
        <v>1867</v>
      </c>
      <c r="E638" s="7" t="s">
        <v>1868</v>
      </c>
      <c r="F638" s="7" t="s">
        <v>2043</v>
      </c>
      <c r="G638" s="7" t="s">
        <v>1871</v>
      </c>
      <c r="H638" s="7">
        <v>1085296663</v>
      </c>
      <c r="I638" s="7">
        <v>3</v>
      </c>
      <c r="J638" s="7" t="s">
        <v>2045</v>
      </c>
      <c r="K638" s="8">
        <v>27515904</v>
      </c>
      <c r="L638" s="7" t="s">
        <v>2044</v>
      </c>
      <c r="M638" s="7" t="s">
        <v>2037</v>
      </c>
      <c r="N638" s="7" t="s">
        <v>2046</v>
      </c>
      <c r="O638" s="7"/>
      <c r="P638" s="13" t="s">
        <v>2047</v>
      </c>
    </row>
    <row r="639" spans="1:16" ht="30" x14ac:dyDescent="0.25">
      <c r="A639" s="7" t="s">
        <v>2042</v>
      </c>
      <c r="B639" s="7" t="str">
        <f>"0185"</f>
        <v>0185</v>
      </c>
      <c r="C639" s="7">
        <v>2020</v>
      </c>
      <c r="D639" s="7" t="s">
        <v>1867</v>
      </c>
      <c r="E639" s="7" t="s">
        <v>1868</v>
      </c>
      <c r="F639" s="7" t="s">
        <v>2048</v>
      </c>
      <c r="G639" s="7" t="s">
        <v>1871</v>
      </c>
      <c r="H639" s="7">
        <v>1061713768</v>
      </c>
      <c r="I639" s="7">
        <v>0</v>
      </c>
      <c r="J639" s="7" t="s">
        <v>2049</v>
      </c>
      <c r="K639" s="8">
        <v>27515904</v>
      </c>
      <c r="L639" s="7" t="s">
        <v>2044</v>
      </c>
      <c r="M639" s="7" t="s">
        <v>2037</v>
      </c>
      <c r="N639" s="7" t="s">
        <v>2046</v>
      </c>
      <c r="O639" s="7"/>
      <c r="P639" s="13" t="s">
        <v>2050</v>
      </c>
    </row>
    <row r="640" spans="1:16" ht="30" x14ac:dyDescent="0.25">
      <c r="A640" s="7" t="s">
        <v>2042</v>
      </c>
      <c r="B640" s="7" t="str">
        <f>"0186"</f>
        <v>0186</v>
      </c>
      <c r="C640" s="7">
        <v>2020</v>
      </c>
      <c r="D640" s="7" t="s">
        <v>1867</v>
      </c>
      <c r="E640" s="7" t="s">
        <v>1875</v>
      </c>
      <c r="F640" s="7" t="s">
        <v>2051</v>
      </c>
      <c r="G640" s="7" t="s">
        <v>1871</v>
      </c>
      <c r="H640" s="7">
        <v>59831538</v>
      </c>
      <c r="I640" s="7">
        <v>0</v>
      </c>
      <c r="J640" s="7" t="s">
        <v>2053</v>
      </c>
      <c r="K640" s="8">
        <v>21200000</v>
      </c>
      <c r="L640" s="7" t="s">
        <v>2052</v>
      </c>
      <c r="M640" s="7" t="s">
        <v>2037</v>
      </c>
      <c r="N640" s="7" t="s">
        <v>2054</v>
      </c>
      <c r="O640" s="7"/>
      <c r="P640" s="13" t="s">
        <v>2055</v>
      </c>
    </row>
    <row r="641" spans="1:16" ht="30" x14ac:dyDescent="0.25">
      <c r="A641" s="7" t="s">
        <v>2042</v>
      </c>
      <c r="B641" s="7" t="str">
        <f>"0187"</f>
        <v>0187</v>
      </c>
      <c r="C641" s="7">
        <v>2020</v>
      </c>
      <c r="D641" s="7" t="s">
        <v>1867</v>
      </c>
      <c r="E641" s="7" t="s">
        <v>1875</v>
      </c>
      <c r="F641" s="7" t="s">
        <v>2056</v>
      </c>
      <c r="G641" s="7" t="s">
        <v>1871</v>
      </c>
      <c r="H641" s="7">
        <v>59651972</v>
      </c>
      <c r="I641" s="7">
        <v>1</v>
      </c>
      <c r="J641" s="7" t="s">
        <v>2057</v>
      </c>
      <c r="K641" s="8">
        <v>9116000</v>
      </c>
      <c r="L641" s="7" t="s">
        <v>2052</v>
      </c>
      <c r="M641" s="7" t="s">
        <v>2037</v>
      </c>
      <c r="N641" s="7" t="s">
        <v>2054</v>
      </c>
      <c r="O641" s="7"/>
      <c r="P641" s="13" t="s">
        <v>2058</v>
      </c>
    </row>
    <row r="642" spans="1:16" ht="45" x14ac:dyDescent="0.25">
      <c r="A642" s="7" t="s">
        <v>2042</v>
      </c>
      <c r="B642" s="7" t="str">
        <f>"1398"</f>
        <v>1398</v>
      </c>
      <c r="C642" s="7">
        <v>2020</v>
      </c>
      <c r="D642" s="7" t="s">
        <v>1867</v>
      </c>
      <c r="E642" s="7" t="s">
        <v>1875</v>
      </c>
      <c r="F642" s="7" t="s">
        <v>3863</v>
      </c>
      <c r="G642" s="7" t="s">
        <v>1871</v>
      </c>
      <c r="H642" s="7">
        <v>1085284740</v>
      </c>
      <c r="I642" s="7">
        <v>0</v>
      </c>
      <c r="J642" s="7" t="s">
        <v>3864</v>
      </c>
      <c r="K642" s="8">
        <v>5400000</v>
      </c>
      <c r="L642" s="7" t="s">
        <v>3784</v>
      </c>
      <c r="M642" s="7" t="s">
        <v>3378</v>
      </c>
      <c r="N642" s="7" t="s">
        <v>3865</v>
      </c>
      <c r="O642" s="7"/>
      <c r="P642" s="13" t="s">
        <v>3866</v>
      </c>
    </row>
    <row r="643" spans="1:16" ht="45" x14ac:dyDescent="0.25">
      <c r="A643" s="7" t="s">
        <v>2042</v>
      </c>
      <c r="B643" s="7" t="str">
        <f>"1399"</f>
        <v>1399</v>
      </c>
      <c r="C643" s="7">
        <v>2020</v>
      </c>
      <c r="D643" s="7" t="s">
        <v>1867</v>
      </c>
      <c r="E643" s="7" t="s">
        <v>1875</v>
      </c>
      <c r="F643" s="7" t="s">
        <v>3867</v>
      </c>
      <c r="G643" s="7" t="s">
        <v>1871</v>
      </c>
      <c r="H643" s="7">
        <v>98386994</v>
      </c>
      <c r="I643" s="7">
        <v>9</v>
      </c>
      <c r="J643" s="7" t="s">
        <v>3868</v>
      </c>
      <c r="K643" s="8">
        <v>5400000</v>
      </c>
      <c r="L643" s="7" t="s">
        <v>3784</v>
      </c>
      <c r="M643" s="7" t="s">
        <v>3869</v>
      </c>
      <c r="N643" s="7" t="s">
        <v>3865</v>
      </c>
      <c r="O643" s="7"/>
      <c r="P643" s="13" t="s">
        <v>3870</v>
      </c>
    </row>
    <row r="644" spans="1:16" ht="30" x14ac:dyDescent="0.25">
      <c r="A644" s="7" t="s">
        <v>2042</v>
      </c>
      <c r="B644" s="7" t="str">
        <f>"0525"</f>
        <v>0525</v>
      </c>
      <c r="C644" s="7">
        <v>2020</v>
      </c>
      <c r="D644" s="7" t="s">
        <v>1867</v>
      </c>
      <c r="E644" s="7" t="s">
        <v>1875</v>
      </c>
      <c r="F644" s="7" t="s">
        <v>2643</v>
      </c>
      <c r="G644" s="7" t="s">
        <v>1871</v>
      </c>
      <c r="H644" s="7">
        <v>98391516</v>
      </c>
      <c r="I644" s="7">
        <v>1</v>
      </c>
      <c r="J644" s="7" t="s">
        <v>2644</v>
      </c>
      <c r="K644" s="8">
        <v>15264000</v>
      </c>
      <c r="L644" s="7" t="s">
        <v>1898</v>
      </c>
      <c r="M644" s="7" t="s">
        <v>2204</v>
      </c>
      <c r="N644" s="7" t="s">
        <v>2167</v>
      </c>
      <c r="O644" s="7"/>
      <c r="P644" s="13" t="s">
        <v>2645</v>
      </c>
    </row>
    <row r="645" spans="1:16" ht="30" x14ac:dyDescent="0.25">
      <c r="A645" s="7" t="s">
        <v>2042</v>
      </c>
      <c r="B645" s="7" t="str">
        <f>"0526"</f>
        <v>0526</v>
      </c>
      <c r="C645" s="7">
        <v>2020</v>
      </c>
      <c r="D645" s="7" t="s">
        <v>1867</v>
      </c>
      <c r="E645" s="7" t="s">
        <v>1868</v>
      </c>
      <c r="F645" s="7" t="s">
        <v>2646</v>
      </c>
      <c r="G645" s="7" t="s">
        <v>1871</v>
      </c>
      <c r="H645" s="7">
        <v>1085277194</v>
      </c>
      <c r="I645" s="7">
        <v>1</v>
      </c>
      <c r="J645" s="7" t="s">
        <v>2647</v>
      </c>
      <c r="K645" s="8">
        <v>21200000</v>
      </c>
      <c r="L645" s="7" t="s">
        <v>1898</v>
      </c>
      <c r="M645" s="7" t="s">
        <v>2204</v>
      </c>
      <c r="N645" s="7" t="s">
        <v>2167</v>
      </c>
      <c r="O645" s="7"/>
      <c r="P645" s="13" t="s">
        <v>2648</v>
      </c>
    </row>
    <row r="646" spans="1:16" ht="30" x14ac:dyDescent="0.25">
      <c r="A646" s="7" t="s">
        <v>2042</v>
      </c>
      <c r="B646" s="7" t="str">
        <f>"0527"</f>
        <v>0527</v>
      </c>
      <c r="C646" s="7">
        <v>2020</v>
      </c>
      <c r="D646" s="7" t="s">
        <v>1867</v>
      </c>
      <c r="E646" s="7" t="s">
        <v>1989</v>
      </c>
      <c r="F646" s="7" t="s">
        <v>2649</v>
      </c>
      <c r="G646" s="7" t="s">
        <v>1871</v>
      </c>
      <c r="H646" s="7">
        <v>87069174</v>
      </c>
      <c r="I646" s="7">
        <v>7</v>
      </c>
      <c r="J646" s="7" t="s">
        <v>2650</v>
      </c>
      <c r="K646" s="8">
        <v>21200000</v>
      </c>
      <c r="L646" s="7" t="s">
        <v>1898</v>
      </c>
      <c r="M646" s="7" t="s">
        <v>2306</v>
      </c>
      <c r="N646" s="7" t="s">
        <v>2167</v>
      </c>
      <c r="O646" s="7"/>
      <c r="P646" s="13" t="s">
        <v>2651</v>
      </c>
    </row>
    <row r="647" spans="1:16" ht="30" x14ac:dyDescent="0.25">
      <c r="A647" s="7" t="s">
        <v>2042</v>
      </c>
      <c r="B647" s="7" t="str">
        <f>"0528"</f>
        <v>0528</v>
      </c>
      <c r="C647" s="7">
        <v>2020</v>
      </c>
      <c r="D647" s="7" t="s">
        <v>1867</v>
      </c>
      <c r="E647" s="7" t="s">
        <v>1989</v>
      </c>
      <c r="F647" s="7" t="s">
        <v>2649</v>
      </c>
      <c r="G647" s="7" t="s">
        <v>1871</v>
      </c>
      <c r="H647" s="7">
        <v>98386531</v>
      </c>
      <c r="I647" s="7">
        <v>2</v>
      </c>
      <c r="J647" s="7" t="s">
        <v>2652</v>
      </c>
      <c r="K647" s="8">
        <v>21200000</v>
      </c>
      <c r="L647" s="7" t="s">
        <v>1898</v>
      </c>
      <c r="M647" s="7" t="s">
        <v>2306</v>
      </c>
      <c r="N647" s="7" t="s">
        <v>2167</v>
      </c>
      <c r="O647" s="7"/>
      <c r="P647" s="13" t="s">
        <v>2653</v>
      </c>
    </row>
    <row r="648" spans="1:16" ht="30" x14ac:dyDescent="0.25">
      <c r="A648" s="7" t="s">
        <v>2042</v>
      </c>
      <c r="B648" s="7" t="str">
        <f>"0530"</f>
        <v>0530</v>
      </c>
      <c r="C648" s="7">
        <v>2020</v>
      </c>
      <c r="D648" s="7" t="s">
        <v>1867</v>
      </c>
      <c r="E648" s="7" t="s">
        <v>1875</v>
      </c>
      <c r="F648" s="7" t="s">
        <v>2656</v>
      </c>
      <c r="G648" s="7" t="s">
        <v>1871</v>
      </c>
      <c r="H648" s="7">
        <v>98383540</v>
      </c>
      <c r="I648" s="7">
        <v>5</v>
      </c>
      <c r="J648" s="7" t="s">
        <v>2657</v>
      </c>
      <c r="K648" s="8">
        <v>22048000</v>
      </c>
      <c r="L648" s="7" t="s">
        <v>1898</v>
      </c>
      <c r="M648" s="7" t="s">
        <v>2204</v>
      </c>
      <c r="N648" s="7" t="s">
        <v>2167</v>
      </c>
      <c r="O648" s="7"/>
      <c r="P648" s="13" t="s">
        <v>2658</v>
      </c>
    </row>
    <row r="649" spans="1:16" ht="30" x14ac:dyDescent="0.25">
      <c r="A649" s="7" t="s">
        <v>2042</v>
      </c>
      <c r="B649" s="7" t="str">
        <f>"0532"</f>
        <v>0532</v>
      </c>
      <c r="C649" s="7">
        <v>2020</v>
      </c>
      <c r="D649" s="7" t="s">
        <v>1867</v>
      </c>
      <c r="E649" s="7" t="s">
        <v>1868</v>
      </c>
      <c r="F649" s="7" t="s">
        <v>2649</v>
      </c>
      <c r="G649" s="7" t="s">
        <v>1871</v>
      </c>
      <c r="H649" s="7">
        <v>1086133322</v>
      </c>
      <c r="I649" s="7">
        <v>1</v>
      </c>
      <c r="J649" s="7" t="s">
        <v>2662</v>
      </c>
      <c r="K649" s="8">
        <v>21200000</v>
      </c>
      <c r="L649" s="7" t="s">
        <v>1898</v>
      </c>
      <c r="M649" s="7" t="s">
        <v>2306</v>
      </c>
      <c r="N649" s="7" t="s">
        <v>2167</v>
      </c>
      <c r="O649" s="7"/>
      <c r="P649" s="13" t="s">
        <v>2663</v>
      </c>
    </row>
    <row r="650" spans="1:16" ht="30" x14ac:dyDescent="0.25">
      <c r="A650" s="7" t="s">
        <v>2042</v>
      </c>
      <c r="B650" s="7" t="str">
        <f>"0533"</f>
        <v>0533</v>
      </c>
      <c r="C650" s="7">
        <v>2020</v>
      </c>
      <c r="D650" s="7" t="s">
        <v>1867</v>
      </c>
      <c r="E650" s="7" t="s">
        <v>1989</v>
      </c>
      <c r="F650" s="7" t="s">
        <v>2664</v>
      </c>
      <c r="G650" s="7" t="s">
        <v>1871</v>
      </c>
      <c r="H650" s="7">
        <v>1085318024</v>
      </c>
      <c r="I650" s="7">
        <v>3</v>
      </c>
      <c r="J650" s="7" t="s">
        <v>2665</v>
      </c>
      <c r="K650" s="8">
        <v>21200000</v>
      </c>
      <c r="L650" s="7" t="s">
        <v>1898</v>
      </c>
      <c r="M650" s="7" t="s">
        <v>2306</v>
      </c>
      <c r="N650" s="7" t="s">
        <v>2167</v>
      </c>
      <c r="O650" s="7"/>
      <c r="P650" s="13" t="s">
        <v>2666</v>
      </c>
    </row>
    <row r="651" spans="1:16" ht="30" x14ac:dyDescent="0.25">
      <c r="A651" s="7" t="s">
        <v>2042</v>
      </c>
      <c r="B651" s="7" t="str">
        <f>"0535"</f>
        <v>0535</v>
      </c>
      <c r="C651" s="7">
        <v>2020</v>
      </c>
      <c r="D651" s="7" t="s">
        <v>1867</v>
      </c>
      <c r="E651" s="7" t="s">
        <v>1868</v>
      </c>
      <c r="F651" s="7" t="s">
        <v>2670</v>
      </c>
      <c r="G651" s="7" t="s">
        <v>1871</v>
      </c>
      <c r="H651" s="7">
        <v>59312194</v>
      </c>
      <c r="I651" s="7">
        <v>4</v>
      </c>
      <c r="J651" s="7" t="s">
        <v>2671</v>
      </c>
      <c r="K651" s="8">
        <v>27515904</v>
      </c>
      <c r="L651" s="7" t="s">
        <v>1898</v>
      </c>
      <c r="M651" s="7" t="s">
        <v>2318</v>
      </c>
      <c r="N651" s="7" t="s">
        <v>2167</v>
      </c>
      <c r="O651" s="7"/>
      <c r="P651" s="13" t="s">
        <v>2672</v>
      </c>
    </row>
    <row r="652" spans="1:16" ht="30" x14ac:dyDescent="0.25">
      <c r="A652" s="7" t="s">
        <v>2042</v>
      </c>
      <c r="B652" s="7" t="str">
        <f>"0537"</f>
        <v>0537</v>
      </c>
      <c r="C652" s="7">
        <v>2020</v>
      </c>
      <c r="D652" s="7" t="s">
        <v>1867</v>
      </c>
      <c r="E652" s="7" t="s">
        <v>1868</v>
      </c>
      <c r="F652" s="7" t="s">
        <v>2676</v>
      </c>
      <c r="G652" s="7" t="s">
        <v>1871</v>
      </c>
      <c r="H652" s="7">
        <v>12976817</v>
      </c>
      <c r="I652" s="7">
        <v>2</v>
      </c>
      <c r="J652" s="7" t="s">
        <v>2677</v>
      </c>
      <c r="K652" s="8">
        <v>21200000</v>
      </c>
      <c r="L652" s="7" t="s">
        <v>1898</v>
      </c>
      <c r="M652" s="7" t="s">
        <v>2306</v>
      </c>
      <c r="N652" s="7" t="s">
        <v>2167</v>
      </c>
      <c r="O652" s="7"/>
      <c r="P652" s="13" t="s">
        <v>2678</v>
      </c>
    </row>
    <row r="653" spans="1:16" ht="30" x14ac:dyDescent="0.25">
      <c r="A653" s="7" t="s">
        <v>2042</v>
      </c>
      <c r="B653" s="7" t="str">
        <f>"0538"</f>
        <v>0538</v>
      </c>
      <c r="C653" s="7">
        <v>2020</v>
      </c>
      <c r="D653" s="7" t="s">
        <v>1867</v>
      </c>
      <c r="E653" s="7" t="s">
        <v>1989</v>
      </c>
      <c r="F653" s="7" t="s">
        <v>2679</v>
      </c>
      <c r="G653" s="7" t="s">
        <v>1871</v>
      </c>
      <c r="H653" s="7">
        <v>87716464</v>
      </c>
      <c r="I653" s="7">
        <v>4</v>
      </c>
      <c r="J653" s="7" t="s">
        <v>2680</v>
      </c>
      <c r="K653" s="8">
        <v>21200000</v>
      </c>
      <c r="L653" s="7" t="s">
        <v>1898</v>
      </c>
      <c r="M653" s="7" t="s">
        <v>2306</v>
      </c>
      <c r="N653" s="7" t="s">
        <v>2167</v>
      </c>
      <c r="O653" s="7"/>
      <c r="P653" s="13" t="s">
        <v>2681</v>
      </c>
    </row>
    <row r="654" spans="1:16" ht="30" x14ac:dyDescent="0.25">
      <c r="A654" s="7" t="s">
        <v>2042</v>
      </c>
      <c r="B654" s="7" t="str">
        <f>"0541"</f>
        <v>0541</v>
      </c>
      <c r="C654" s="7">
        <v>2020</v>
      </c>
      <c r="D654" s="7" t="s">
        <v>1867</v>
      </c>
      <c r="E654" s="7" t="s">
        <v>1868</v>
      </c>
      <c r="F654" s="7" t="s">
        <v>2688</v>
      </c>
      <c r="G654" s="7" t="s">
        <v>1871</v>
      </c>
      <c r="H654" s="7">
        <v>98322721</v>
      </c>
      <c r="I654" s="7">
        <v>0</v>
      </c>
      <c r="J654" s="7" t="s">
        <v>2689</v>
      </c>
      <c r="K654" s="8">
        <v>21200000</v>
      </c>
      <c r="L654" s="7" t="s">
        <v>1898</v>
      </c>
      <c r="M654" s="7" t="s">
        <v>2318</v>
      </c>
      <c r="N654" s="7" t="s">
        <v>2167</v>
      </c>
      <c r="O654" s="7"/>
      <c r="P654" s="13" t="s">
        <v>2690</v>
      </c>
    </row>
    <row r="655" spans="1:16" ht="30" x14ac:dyDescent="0.25">
      <c r="A655" s="7" t="s">
        <v>2042</v>
      </c>
      <c r="B655" s="7" t="str">
        <f>"0542"</f>
        <v>0542</v>
      </c>
      <c r="C655" s="7">
        <v>2020</v>
      </c>
      <c r="D655" s="7" t="s">
        <v>1867</v>
      </c>
      <c r="E655" s="7" t="s">
        <v>1868</v>
      </c>
      <c r="F655" s="7" t="s">
        <v>2691</v>
      </c>
      <c r="G655" s="7" t="s">
        <v>1871</v>
      </c>
      <c r="H655" s="7">
        <v>12968478</v>
      </c>
      <c r="I655" s="7">
        <v>5</v>
      </c>
      <c r="J655" s="7" t="s">
        <v>2692</v>
      </c>
      <c r="K655" s="8">
        <v>21200000</v>
      </c>
      <c r="L655" s="7" t="s">
        <v>1898</v>
      </c>
      <c r="M655" s="7" t="s">
        <v>2204</v>
      </c>
      <c r="N655" s="7" t="s">
        <v>2167</v>
      </c>
      <c r="O655" s="7"/>
      <c r="P655" s="13" t="s">
        <v>2693</v>
      </c>
    </row>
    <row r="656" spans="1:16" ht="30" x14ac:dyDescent="0.25">
      <c r="A656" s="7" t="s">
        <v>2042</v>
      </c>
      <c r="B656" s="7" t="str">
        <f>"0544"</f>
        <v>0544</v>
      </c>
      <c r="C656" s="7">
        <v>2020</v>
      </c>
      <c r="D656" s="7" t="s">
        <v>1867</v>
      </c>
      <c r="E656" s="7" t="s">
        <v>1875</v>
      </c>
      <c r="F656" s="7" t="s">
        <v>2698</v>
      </c>
      <c r="G656" s="7" t="s">
        <v>1871</v>
      </c>
      <c r="H656" s="7">
        <v>12970810</v>
      </c>
      <c r="I656" s="7">
        <v>4</v>
      </c>
      <c r="J656" s="7" t="s">
        <v>2699</v>
      </c>
      <c r="K656" s="8">
        <v>15264000</v>
      </c>
      <c r="L656" s="7" t="s">
        <v>1898</v>
      </c>
      <c r="M656" s="7" t="s">
        <v>2107</v>
      </c>
      <c r="N656" s="7" t="s">
        <v>2167</v>
      </c>
      <c r="O656" s="7"/>
      <c r="P656" s="13" t="s">
        <v>2700</v>
      </c>
    </row>
    <row r="657" spans="1:16" ht="30" x14ac:dyDescent="0.25">
      <c r="A657" s="7" t="s">
        <v>2042</v>
      </c>
      <c r="B657" s="7" t="str">
        <f>"0619"</f>
        <v>0619</v>
      </c>
      <c r="C657" s="7">
        <v>2020</v>
      </c>
      <c r="D657" s="7" t="s">
        <v>1867</v>
      </c>
      <c r="E657" s="7" t="s">
        <v>1989</v>
      </c>
      <c r="F657" s="7" t="s">
        <v>2836</v>
      </c>
      <c r="G657" s="7" t="s">
        <v>1871</v>
      </c>
      <c r="H657" s="7">
        <v>30738648</v>
      </c>
      <c r="I657" s="7">
        <v>1</v>
      </c>
      <c r="J657" s="7" t="s">
        <v>2837</v>
      </c>
      <c r="K657" s="8">
        <v>27515904</v>
      </c>
      <c r="L657" s="7" t="s">
        <v>1898</v>
      </c>
      <c r="M657" s="7" t="s">
        <v>2306</v>
      </c>
      <c r="N657" s="7" t="s">
        <v>2167</v>
      </c>
      <c r="O657" s="7"/>
      <c r="P657" s="13" t="s">
        <v>2838</v>
      </c>
    </row>
    <row r="658" spans="1:16" ht="30" x14ac:dyDescent="0.25">
      <c r="A658" s="7" t="s">
        <v>2042</v>
      </c>
      <c r="B658" s="7" t="str">
        <f>"0620"</f>
        <v>0620</v>
      </c>
      <c r="C658" s="7">
        <v>2020</v>
      </c>
      <c r="D658" s="7" t="s">
        <v>1867</v>
      </c>
      <c r="E658" s="7" t="s">
        <v>1868</v>
      </c>
      <c r="F658" s="7" t="s">
        <v>2839</v>
      </c>
      <c r="G658" s="7" t="s">
        <v>1871</v>
      </c>
      <c r="H658" s="7">
        <v>59815331</v>
      </c>
      <c r="I658" s="7">
        <v>6</v>
      </c>
      <c r="J658" s="7" t="s">
        <v>2840</v>
      </c>
      <c r="K658" s="8">
        <v>21200000</v>
      </c>
      <c r="L658" s="7" t="s">
        <v>1898</v>
      </c>
      <c r="M658" s="7" t="s">
        <v>2204</v>
      </c>
      <c r="N658" s="7" t="s">
        <v>2167</v>
      </c>
      <c r="O658" s="7"/>
      <c r="P658" s="13" t="s">
        <v>2841</v>
      </c>
    </row>
    <row r="659" spans="1:16" ht="30" x14ac:dyDescent="0.25">
      <c r="A659" s="7" t="s">
        <v>2042</v>
      </c>
      <c r="B659" s="7" t="str">
        <f>"0621"</f>
        <v>0621</v>
      </c>
      <c r="C659" s="7">
        <v>2020</v>
      </c>
      <c r="D659" s="7" t="s">
        <v>1867</v>
      </c>
      <c r="E659" s="7" t="s">
        <v>1875</v>
      </c>
      <c r="F659" s="7" t="s">
        <v>2842</v>
      </c>
      <c r="G659" s="7" t="s">
        <v>1871</v>
      </c>
      <c r="H659" s="7">
        <v>30742517</v>
      </c>
      <c r="I659" s="7">
        <v>9</v>
      </c>
      <c r="J659" s="7" t="s">
        <v>2843</v>
      </c>
      <c r="K659" s="8">
        <v>15264000</v>
      </c>
      <c r="L659" s="7" t="s">
        <v>1898</v>
      </c>
      <c r="M659" s="7" t="s">
        <v>2204</v>
      </c>
      <c r="N659" s="7" t="s">
        <v>2167</v>
      </c>
      <c r="O659" s="7"/>
      <c r="P659" s="13" t="s">
        <v>2844</v>
      </c>
    </row>
    <row r="660" spans="1:16" ht="30" x14ac:dyDescent="0.25">
      <c r="A660" s="7" t="s">
        <v>2042</v>
      </c>
      <c r="B660" s="7" t="str">
        <f>"0638"</f>
        <v>0638</v>
      </c>
      <c r="C660" s="7">
        <v>2020</v>
      </c>
      <c r="D660" s="7" t="s">
        <v>1867</v>
      </c>
      <c r="E660" s="7" t="s">
        <v>1868</v>
      </c>
      <c r="F660" s="7" t="s">
        <v>2876</v>
      </c>
      <c r="G660" s="7" t="s">
        <v>1871</v>
      </c>
      <c r="H660" s="7">
        <v>13070294</v>
      </c>
      <c r="I660" s="7">
        <v>5</v>
      </c>
      <c r="J660" s="7" t="s">
        <v>2877</v>
      </c>
      <c r="K660" s="8">
        <v>21200000</v>
      </c>
      <c r="L660" s="7" t="s">
        <v>1966</v>
      </c>
      <c r="M660" s="7" t="s">
        <v>2107</v>
      </c>
      <c r="N660" s="7" t="s">
        <v>2167</v>
      </c>
      <c r="O660" s="7"/>
      <c r="P660" s="13" t="s">
        <v>2878</v>
      </c>
    </row>
    <row r="661" spans="1:16" ht="30" x14ac:dyDescent="0.25">
      <c r="A661" s="7" t="s">
        <v>2042</v>
      </c>
      <c r="B661" s="7" t="str">
        <f>"0715"</f>
        <v>0715</v>
      </c>
      <c r="C661" s="7">
        <v>2020</v>
      </c>
      <c r="D661" s="7" t="s">
        <v>1867</v>
      </c>
      <c r="E661" s="7" t="s">
        <v>1868</v>
      </c>
      <c r="F661" s="7" t="s">
        <v>2963</v>
      </c>
      <c r="G661" s="7" t="s">
        <v>1871</v>
      </c>
      <c r="H661" s="7">
        <v>1089244980</v>
      </c>
      <c r="I661" s="7">
        <v>5</v>
      </c>
      <c r="J661" s="7" t="s">
        <v>2964</v>
      </c>
      <c r="K661" s="8">
        <v>21200000</v>
      </c>
      <c r="L661" s="7" t="s">
        <v>1997</v>
      </c>
      <c r="M661" s="7" t="s">
        <v>2204</v>
      </c>
      <c r="N661" s="7" t="s">
        <v>2167</v>
      </c>
      <c r="O661" s="7"/>
      <c r="P661" s="13" t="s">
        <v>2965</v>
      </c>
    </row>
    <row r="662" spans="1:16" ht="30" x14ac:dyDescent="0.25">
      <c r="A662" s="7" t="s">
        <v>2042</v>
      </c>
      <c r="B662" s="7" t="str">
        <f>"0523"</f>
        <v>0523</v>
      </c>
      <c r="C662" s="7">
        <v>2020</v>
      </c>
      <c r="D662" s="7" t="s">
        <v>1867</v>
      </c>
      <c r="E662" s="7" t="s">
        <v>1875</v>
      </c>
      <c r="F662" s="7" t="s">
        <v>2637</v>
      </c>
      <c r="G662" s="7" t="s">
        <v>1871</v>
      </c>
      <c r="H662" s="7">
        <v>1085097791</v>
      </c>
      <c r="I662" s="7">
        <v>4</v>
      </c>
      <c r="J662" s="7" t="s">
        <v>2638</v>
      </c>
      <c r="K662" s="8">
        <v>21200000</v>
      </c>
      <c r="L662" s="7" t="s">
        <v>1898</v>
      </c>
      <c r="M662" s="7" t="s">
        <v>2318</v>
      </c>
      <c r="N662" s="7" t="s">
        <v>2197</v>
      </c>
      <c r="O662" s="7"/>
      <c r="P662" s="13" t="s">
        <v>2639</v>
      </c>
    </row>
    <row r="663" spans="1:16" ht="30" x14ac:dyDescent="0.25">
      <c r="A663" s="7" t="s">
        <v>2042</v>
      </c>
      <c r="B663" s="7" t="str">
        <f>"0524"</f>
        <v>0524</v>
      </c>
      <c r="C663" s="7">
        <v>2020</v>
      </c>
      <c r="D663" s="7" t="s">
        <v>1867</v>
      </c>
      <c r="E663" s="7" t="s">
        <v>1875</v>
      </c>
      <c r="F663" s="7" t="s">
        <v>2640</v>
      </c>
      <c r="G663" s="7" t="s">
        <v>1871</v>
      </c>
      <c r="H663" s="7">
        <v>1085663351</v>
      </c>
      <c r="I663" s="7">
        <v>5</v>
      </c>
      <c r="J663" s="7" t="s">
        <v>2641</v>
      </c>
      <c r="K663" s="8">
        <v>15264000</v>
      </c>
      <c r="L663" s="7" t="s">
        <v>1898</v>
      </c>
      <c r="M663" s="7" t="s">
        <v>2331</v>
      </c>
      <c r="N663" s="7" t="s">
        <v>2197</v>
      </c>
      <c r="O663" s="7"/>
      <c r="P663" s="13" t="s">
        <v>2642</v>
      </c>
    </row>
    <row r="664" spans="1:16" ht="30" x14ac:dyDescent="0.25">
      <c r="A664" s="7" t="s">
        <v>2042</v>
      </c>
      <c r="B664" s="7" t="str">
        <f>"0534"</f>
        <v>0534</v>
      </c>
      <c r="C664" s="7">
        <v>2020</v>
      </c>
      <c r="D664" s="7" t="s">
        <v>1867</v>
      </c>
      <c r="E664" s="7" t="s">
        <v>1868</v>
      </c>
      <c r="F664" s="7" t="s">
        <v>2667</v>
      </c>
      <c r="G664" s="7" t="s">
        <v>1871</v>
      </c>
      <c r="H664" s="7">
        <v>1085662945</v>
      </c>
      <c r="I664" s="7">
        <v>5</v>
      </c>
      <c r="J664" s="7" t="s">
        <v>2668</v>
      </c>
      <c r="K664" s="8">
        <v>16960000</v>
      </c>
      <c r="L664" s="7" t="s">
        <v>1898</v>
      </c>
      <c r="M664" s="7" t="s">
        <v>2107</v>
      </c>
      <c r="N664" s="7" t="s">
        <v>2197</v>
      </c>
      <c r="O664" s="7"/>
      <c r="P664" s="13" t="s">
        <v>2669</v>
      </c>
    </row>
    <row r="665" spans="1:16" ht="30" x14ac:dyDescent="0.25">
      <c r="A665" s="7" t="s">
        <v>2042</v>
      </c>
      <c r="B665" s="7" t="str">
        <f>"0539"</f>
        <v>0539</v>
      </c>
      <c r="C665" s="7">
        <v>2020</v>
      </c>
      <c r="D665" s="7" t="s">
        <v>1867</v>
      </c>
      <c r="E665" s="7" t="s">
        <v>1868</v>
      </c>
      <c r="F665" s="7" t="s">
        <v>2682</v>
      </c>
      <c r="G665" s="7" t="s">
        <v>1871</v>
      </c>
      <c r="H665" s="7">
        <v>1085278072</v>
      </c>
      <c r="I665" s="7">
        <v>4</v>
      </c>
      <c r="J665" s="7" t="s">
        <v>2683</v>
      </c>
      <c r="K665" s="8">
        <v>21200000</v>
      </c>
      <c r="L665" s="7" t="s">
        <v>1898</v>
      </c>
      <c r="M665" s="7" t="s">
        <v>2107</v>
      </c>
      <c r="N665" s="7" t="s">
        <v>2197</v>
      </c>
      <c r="O665" s="7"/>
      <c r="P665" s="13" t="s">
        <v>2684</v>
      </c>
    </row>
    <row r="666" spans="1:16" ht="30" x14ac:dyDescent="0.25">
      <c r="A666" s="7" t="s">
        <v>2042</v>
      </c>
      <c r="B666" s="7" t="str">
        <f>"0618"</f>
        <v>0618</v>
      </c>
      <c r="C666" s="7">
        <v>2020</v>
      </c>
      <c r="D666" s="7" t="s">
        <v>1867</v>
      </c>
      <c r="E666" s="7" t="s">
        <v>1868</v>
      </c>
      <c r="F666" s="7" t="s">
        <v>2833</v>
      </c>
      <c r="G666" s="7" t="s">
        <v>1871</v>
      </c>
      <c r="H666" s="7">
        <v>1085299884</v>
      </c>
      <c r="I666" s="7">
        <v>8</v>
      </c>
      <c r="J666" s="7" t="s">
        <v>2834</v>
      </c>
      <c r="K666" s="8">
        <v>16960000</v>
      </c>
      <c r="L666" s="7" t="s">
        <v>1898</v>
      </c>
      <c r="M666" s="7" t="s">
        <v>2350</v>
      </c>
      <c r="N666" s="7" t="s">
        <v>2197</v>
      </c>
      <c r="O666" s="7"/>
      <c r="P666" s="13" t="s">
        <v>2835</v>
      </c>
    </row>
    <row r="667" spans="1:16" ht="30" x14ac:dyDescent="0.25">
      <c r="A667" s="7" t="s">
        <v>2042</v>
      </c>
      <c r="B667" s="7" t="str">
        <f>"0521"</f>
        <v>0521</v>
      </c>
      <c r="C667" s="7">
        <v>2020</v>
      </c>
      <c r="D667" s="7" t="s">
        <v>1867</v>
      </c>
      <c r="E667" s="7" t="s">
        <v>1868</v>
      </c>
      <c r="F667" s="7" t="s">
        <v>2634</v>
      </c>
      <c r="G667" s="7" t="s">
        <v>1871</v>
      </c>
      <c r="H667" s="7">
        <v>98393494</v>
      </c>
      <c r="I667" s="7">
        <v>7</v>
      </c>
      <c r="J667" s="7" t="s">
        <v>2635</v>
      </c>
      <c r="K667" s="8">
        <v>25960000</v>
      </c>
      <c r="L667" s="7" t="s">
        <v>1898</v>
      </c>
      <c r="M667" s="7" t="s">
        <v>2107</v>
      </c>
      <c r="N667" s="7" t="s">
        <v>2205</v>
      </c>
      <c r="O667" s="7"/>
      <c r="P667" s="13" t="s">
        <v>2636</v>
      </c>
    </row>
    <row r="668" spans="1:16" ht="30" x14ac:dyDescent="0.25">
      <c r="A668" s="7" t="s">
        <v>2042</v>
      </c>
      <c r="B668" s="7" t="str">
        <f>"0529"</f>
        <v>0529</v>
      </c>
      <c r="C668" s="7">
        <v>2020</v>
      </c>
      <c r="D668" s="7" t="s">
        <v>1867</v>
      </c>
      <c r="E668" s="7" t="s">
        <v>1868</v>
      </c>
      <c r="F668" s="7" t="s">
        <v>2649</v>
      </c>
      <c r="G668" s="7" t="s">
        <v>1871</v>
      </c>
      <c r="H668" s="7">
        <v>1085269846</v>
      </c>
      <c r="I668" s="7">
        <v>1</v>
      </c>
      <c r="J668" s="7" t="s">
        <v>2654</v>
      </c>
      <c r="K668" s="8">
        <v>21200000</v>
      </c>
      <c r="L668" s="7" t="s">
        <v>1898</v>
      </c>
      <c r="M668" s="7" t="s">
        <v>2107</v>
      </c>
      <c r="N668" s="7" t="s">
        <v>2205</v>
      </c>
      <c r="O668" s="7"/>
      <c r="P668" s="13" t="s">
        <v>2655</v>
      </c>
    </row>
    <row r="669" spans="1:16" ht="30" x14ac:dyDescent="0.25">
      <c r="A669" s="7" t="s">
        <v>2042</v>
      </c>
      <c r="B669" s="7" t="str">
        <f>"0531"</f>
        <v>0531</v>
      </c>
      <c r="C669" s="7">
        <v>2020</v>
      </c>
      <c r="D669" s="7" t="s">
        <v>1867</v>
      </c>
      <c r="E669" s="7" t="s">
        <v>1875</v>
      </c>
      <c r="F669" s="7" t="s">
        <v>2659</v>
      </c>
      <c r="G669" s="7" t="s">
        <v>1871</v>
      </c>
      <c r="H669" s="7">
        <v>89006460</v>
      </c>
      <c r="I669" s="7">
        <v>6</v>
      </c>
      <c r="J669" s="7" t="s">
        <v>2660</v>
      </c>
      <c r="K669" s="8">
        <v>27515904</v>
      </c>
      <c r="L669" s="7" t="s">
        <v>1898</v>
      </c>
      <c r="M669" s="7" t="s">
        <v>2107</v>
      </c>
      <c r="N669" s="7" t="s">
        <v>2205</v>
      </c>
      <c r="O669" s="7"/>
      <c r="P669" s="13" t="s">
        <v>2661</v>
      </c>
    </row>
    <row r="670" spans="1:16" ht="30" x14ac:dyDescent="0.25">
      <c r="A670" s="7" t="s">
        <v>2042</v>
      </c>
      <c r="B670" s="7" t="str">
        <f>"0536"</f>
        <v>0536</v>
      </c>
      <c r="C670" s="7">
        <v>2020</v>
      </c>
      <c r="D670" s="7" t="s">
        <v>1867</v>
      </c>
      <c r="E670" s="7" t="s">
        <v>1868</v>
      </c>
      <c r="F670" s="7" t="s">
        <v>2673</v>
      </c>
      <c r="G670" s="7" t="s">
        <v>1871</v>
      </c>
      <c r="H670" s="7">
        <v>12750623</v>
      </c>
      <c r="I670" s="7">
        <v>1</v>
      </c>
      <c r="J670" s="7" t="s">
        <v>2674</v>
      </c>
      <c r="K670" s="8">
        <v>21200000</v>
      </c>
      <c r="L670" s="7" t="s">
        <v>1898</v>
      </c>
      <c r="M670" s="7" t="s">
        <v>2107</v>
      </c>
      <c r="N670" s="7" t="s">
        <v>2205</v>
      </c>
      <c r="O670" s="7"/>
      <c r="P670" s="13" t="s">
        <v>2675</v>
      </c>
    </row>
    <row r="671" spans="1:16" ht="30" x14ac:dyDescent="0.25">
      <c r="A671" s="7" t="s">
        <v>2042</v>
      </c>
      <c r="B671" s="7" t="str">
        <f>"0540"</f>
        <v>0540</v>
      </c>
      <c r="C671" s="7">
        <v>2020</v>
      </c>
      <c r="D671" s="7" t="s">
        <v>1867</v>
      </c>
      <c r="E671" s="7" t="s">
        <v>1868</v>
      </c>
      <c r="F671" s="7" t="s">
        <v>2685</v>
      </c>
      <c r="G671" s="7" t="s">
        <v>1871</v>
      </c>
      <c r="H671" s="7">
        <v>1085251278</v>
      </c>
      <c r="I671" s="7">
        <v>7</v>
      </c>
      <c r="J671" s="7" t="s">
        <v>2686</v>
      </c>
      <c r="K671" s="8">
        <v>21200000</v>
      </c>
      <c r="L671" s="7" t="s">
        <v>1898</v>
      </c>
      <c r="M671" s="7" t="s">
        <v>2107</v>
      </c>
      <c r="N671" s="7" t="s">
        <v>2205</v>
      </c>
      <c r="O671" s="7"/>
      <c r="P671" s="13" t="s">
        <v>2687</v>
      </c>
    </row>
    <row r="672" spans="1:16" ht="30" x14ac:dyDescent="0.25">
      <c r="A672" s="7" t="s">
        <v>2042</v>
      </c>
      <c r="B672" s="7" t="str">
        <f>"0584"</f>
        <v>0584</v>
      </c>
      <c r="C672" s="7">
        <v>2020</v>
      </c>
      <c r="D672" s="7" t="s">
        <v>1867</v>
      </c>
      <c r="E672" s="7" t="s">
        <v>1868</v>
      </c>
      <c r="F672" s="7" t="s">
        <v>2774</v>
      </c>
      <c r="G672" s="7" t="s">
        <v>1871</v>
      </c>
      <c r="H672" s="7">
        <v>1085294579</v>
      </c>
      <c r="I672" s="7">
        <v>3</v>
      </c>
      <c r="J672" s="7" t="s">
        <v>2775</v>
      </c>
      <c r="K672" s="8">
        <v>25960000</v>
      </c>
      <c r="L672" s="7" t="s">
        <v>1898</v>
      </c>
      <c r="M672" s="7" t="s">
        <v>2306</v>
      </c>
      <c r="N672" s="7" t="s">
        <v>2205</v>
      </c>
      <c r="O672" s="7"/>
      <c r="P672" s="13" t="s">
        <v>2776</v>
      </c>
    </row>
    <row r="673" spans="1:16" ht="30" x14ac:dyDescent="0.25">
      <c r="A673" s="7" t="s">
        <v>2042</v>
      </c>
      <c r="B673" s="7" t="str">
        <f>"0543"</f>
        <v>0543</v>
      </c>
      <c r="C673" s="7">
        <v>2020</v>
      </c>
      <c r="D673" s="7" t="s">
        <v>1867</v>
      </c>
      <c r="E673" s="7" t="s">
        <v>1875</v>
      </c>
      <c r="F673" s="7" t="s">
        <v>2694</v>
      </c>
      <c r="G673" s="7" t="s">
        <v>1871</v>
      </c>
      <c r="H673" s="7">
        <v>1085661594</v>
      </c>
      <c r="I673" s="7">
        <v>9</v>
      </c>
      <c r="J673" s="7" t="s">
        <v>2695</v>
      </c>
      <c r="K673" s="8">
        <v>15264000</v>
      </c>
      <c r="L673" s="7" t="s">
        <v>1898</v>
      </c>
      <c r="M673" s="7" t="s">
        <v>2318</v>
      </c>
      <c r="N673" s="7" t="s">
        <v>2696</v>
      </c>
      <c r="O673" s="7"/>
      <c r="P673" s="13" t="s">
        <v>2697</v>
      </c>
    </row>
    <row r="674" spans="1:16" ht="30" x14ac:dyDescent="0.25">
      <c r="A674" s="7" t="s">
        <v>2042</v>
      </c>
      <c r="B674" s="7" t="str">
        <f>"0835"</f>
        <v>0835</v>
      </c>
      <c r="C674" s="7">
        <v>2020</v>
      </c>
      <c r="D674" s="7" t="s">
        <v>1867</v>
      </c>
      <c r="E674" s="7" t="s">
        <v>1868</v>
      </c>
      <c r="F674" s="7" t="s">
        <v>3168</v>
      </c>
      <c r="G674" s="7" t="s">
        <v>1871</v>
      </c>
      <c r="H674" s="7">
        <v>9770070</v>
      </c>
      <c r="I674" s="7">
        <v>1</v>
      </c>
      <c r="J674" s="7" t="s">
        <v>3169</v>
      </c>
      <c r="K674" s="8">
        <v>21200000</v>
      </c>
      <c r="L674" s="7" t="s">
        <v>1908</v>
      </c>
      <c r="M674" s="7" t="s">
        <v>2107</v>
      </c>
      <c r="N674" s="7" t="s">
        <v>3170</v>
      </c>
      <c r="O674" s="7"/>
      <c r="P674" s="13" t="s">
        <v>3171</v>
      </c>
    </row>
    <row r="675" spans="1:16" ht="30" x14ac:dyDescent="0.25">
      <c r="A675" s="7" t="s">
        <v>2042</v>
      </c>
      <c r="B675" s="7" t="str">
        <f>"0850"</f>
        <v>0850</v>
      </c>
      <c r="C675" s="7">
        <v>2020</v>
      </c>
      <c r="D675" s="7" t="s">
        <v>1867</v>
      </c>
      <c r="E675" s="7" t="s">
        <v>1868</v>
      </c>
      <c r="F675" s="7" t="s">
        <v>3190</v>
      </c>
      <c r="G675" s="7" t="s">
        <v>1871</v>
      </c>
      <c r="H675" s="7">
        <v>98399858</v>
      </c>
      <c r="I675" s="7">
        <v>1</v>
      </c>
      <c r="J675" s="7" t="s">
        <v>3191</v>
      </c>
      <c r="K675" s="8">
        <v>25960000</v>
      </c>
      <c r="L675" s="7" t="s">
        <v>1973</v>
      </c>
      <c r="M675" s="7" t="s">
        <v>2107</v>
      </c>
      <c r="N675" s="7" t="s">
        <v>3188</v>
      </c>
      <c r="O675" s="7"/>
      <c r="P675" s="13" t="s">
        <v>3192</v>
      </c>
    </row>
    <row r="676" spans="1:16" ht="30" x14ac:dyDescent="0.25">
      <c r="A676" s="7" t="s">
        <v>2042</v>
      </c>
      <c r="B676" s="7" t="str">
        <f>"0864"</f>
        <v>0864</v>
      </c>
      <c r="C676" s="7">
        <v>2020</v>
      </c>
      <c r="D676" s="7" t="s">
        <v>1867</v>
      </c>
      <c r="E676" s="7" t="s">
        <v>1868</v>
      </c>
      <c r="F676" s="7" t="s">
        <v>3222</v>
      </c>
      <c r="G676" s="7" t="s">
        <v>1871</v>
      </c>
      <c r="H676" s="7">
        <v>1085662341</v>
      </c>
      <c r="I676" s="7">
        <v>7</v>
      </c>
      <c r="J676" s="7" t="s">
        <v>3223</v>
      </c>
      <c r="K676" s="8">
        <v>21200000</v>
      </c>
      <c r="L676" s="7" t="s">
        <v>2022</v>
      </c>
      <c r="M676" s="7" t="s">
        <v>2107</v>
      </c>
      <c r="N676" s="7" t="s">
        <v>3224</v>
      </c>
      <c r="O676" s="7"/>
      <c r="P676" s="13" t="s">
        <v>3225</v>
      </c>
    </row>
    <row r="677" spans="1:16" ht="30" x14ac:dyDescent="0.25">
      <c r="A677" s="7" t="s">
        <v>2042</v>
      </c>
      <c r="B677" s="7" t="str">
        <f>"0989"</f>
        <v>0989</v>
      </c>
      <c r="C677" s="7">
        <v>2020</v>
      </c>
      <c r="D677" s="7" t="s">
        <v>1867</v>
      </c>
      <c r="E677" s="7" t="s">
        <v>1875</v>
      </c>
      <c r="F677" s="7" t="s">
        <v>3400</v>
      </c>
      <c r="G677" s="7" t="s">
        <v>1871</v>
      </c>
      <c r="H677" s="7">
        <v>98387715</v>
      </c>
      <c r="I677" s="7">
        <v>5</v>
      </c>
      <c r="J677" s="7" t="s">
        <v>3401</v>
      </c>
      <c r="K677" s="8">
        <v>13144000</v>
      </c>
      <c r="L677" s="7" t="s">
        <v>2257</v>
      </c>
      <c r="M677" s="7" t="s">
        <v>3110</v>
      </c>
      <c r="N677" s="7" t="s">
        <v>3337</v>
      </c>
      <c r="O677" s="7"/>
      <c r="P677" s="13" t="s">
        <v>3402</v>
      </c>
    </row>
    <row r="678" spans="1:16" ht="30" x14ac:dyDescent="0.25">
      <c r="A678" s="7" t="s">
        <v>2042</v>
      </c>
      <c r="B678" s="7" t="str">
        <f>"0992"</f>
        <v>0992</v>
      </c>
      <c r="C678" s="7">
        <v>2020</v>
      </c>
      <c r="D678" s="7" t="s">
        <v>1867</v>
      </c>
      <c r="E678" s="7" t="s">
        <v>1875</v>
      </c>
      <c r="F678" s="7" t="s">
        <v>3409</v>
      </c>
      <c r="G678" s="7" t="s">
        <v>1871</v>
      </c>
      <c r="H678" s="7">
        <v>98347898</v>
      </c>
      <c r="I678" s="7">
        <v>3</v>
      </c>
      <c r="J678" s="7" t="s">
        <v>3410</v>
      </c>
      <c r="K678" s="8">
        <v>13144000</v>
      </c>
      <c r="L678" s="7" t="s">
        <v>2257</v>
      </c>
      <c r="M678" s="7" t="s">
        <v>3034</v>
      </c>
      <c r="N678" s="7" t="s">
        <v>3337</v>
      </c>
      <c r="O678" s="7"/>
      <c r="P678" s="13" t="s">
        <v>3411</v>
      </c>
    </row>
    <row r="679" spans="1:16" ht="30" x14ac:dyDescent="0.25">
      <c r="A679" s="7" t="s">
        <v>2042</v>
      </c>
      <c r="B679" s="7" t="str">
        <f>"0984"</f>
        <v>0984</v>
      </c>
      <c r="C679" s="7">
        <v>2020</v>
      </c>
      <c r="D679" s="7" t="s">
        <v>1867</v>
      </c>
      <c r="E679" s="7" t="s">
        <v>1875</v>
      </c>
      <c r="F679" s="7" t="s">
        <v>3383</v>
      </c>
      <c r="G679" s="7" t="s">
        <v>1871</v>
      </c>
      <c r="H679" s="7">
        <v>12990922</v>
      </c>
      <c r="I679" s="7">
        <v>6</v>
      </c>
      <c r="J679" s="7" t="s">
        <v>3384</v>
      </c>
      <c r="K679" s="8">
        <v>13144000</v>
      </c>
      <c r="L679" s="7" t="s">
        <v>2171</v>
      </c>
      <c r="M679" s="7" t="s">
        <v>3110</v>
      </c>
      <c r="N679" s="7" t="s">
        <v>3334</v>
      </c>
      <c r="O679" s="7"/>
      <c r="P679" s="13" t="s">
        <v>3385</v>
      </c>
    </row>
    <row r="680" spans="1:16" ht="30" x14ac:dyDescent="0.25">
      <c r="A680" s="7" t="s">
        <v>2042</v>
      </c>
      <c r="B680" s="7" t="str">
        <f>"0985"</f>
        <v>0985</v>
      </c>
      <c r="C680" s="7">
        <v>2020</v>
      </c>
      <c r="D680" s="7" t="s">
        <v>1867</v>
      </c>
      <c r="E680" s="7" t="s">
        <v>1868</v>
      </c>
      <c r="F680" s="7" t="s">
        <v>3386</v>
      </c>
      <c r="G680" s="7" t="s">
        <v>1871</v>
      </c>
      <c r="H680" s="7">
        <v>1098604164</v>
      </c>
      <c r="I680" s="7">
        <v>1</v>
      </c>
      <c r="J680" s="7" t="s">
        <v>3387</v>
      </c>
      <c r="K680" s="8">
        <v>13144000</v>
      </c>
      <c r="L680" s="7" t="s">
        <v>2171</v>
      </c>
      <c r="M680" s="7" t="s">
        <v>3388</v>
      </c>
      <c r="N680" s="7" t="s">
        <v>3334</v>
      </c>
      <c r="O680" s="7"/>
      <c r="P680" s="13" t="s">
        <v>3389</v>
      </c>
    </row>
    <row r="681" spans="1:16" ht="30" x14ac:dyDescent="0.25">
      <c r="A681" s="7" t="s">
        <v>2042</v>
      </c>
      <c r="B681" s="7" t="str">
        <f>"0986"</f>
        <v>0986</v>
      </c>
      <c r="C681" s="7">
        <v>2020</v>
      </c>
      <c r="D681" s="7" t="s">
        <v>1867</v>
      </c>
      <c r="E681" s="7" t="s">
        <v>1875</v>
      </c>
      <c r="F681" s="7" t="s">
        <v>3390</v>
      </c>
      <c r="G681" s="7" t="s">
        <v>1871</v>
      </c>
      <c r="H681" s="7">
        <v>11443971</v>
      </c>
      <c r="I681" s="7">
        <v>0</v>
      </c>
      <c r="J681" s="7" t="s">
        <v>3391</v>
      </c>
      <c r="K681" s="8">
        <v>16960000</v>
      </c>
      <c r="L681" s="7" t="s">
        <v>2171</v>
      </c>
      <c r="M681" s="7" t="s">
        <v>3392</v>
      </c>
      <c r="N681" s="7" t="s">
        <v>3334</v>
      </c>
      <c r="O681" s="7"/>
      <c r="P681" s="13" t="s">
        <v>3393</v>
      </c>
    </row>
    <row r="682" spans="1:16" ht="30" x14ac:dyDescent="0.25">
      <c r="A682" s="7" t="s">
        <v>2042</v>
      </c>
      <c r="B682" s="7" t="str">
        <f>"0987"</f>
        <v>0987</v>
      </c>
      <c r="C682" s="7">
        <v>2020</v>
      </c>
      <c r="D682" s="7" t="s">
        <v>1867</v>
      </c>
      <c r="E682" s="7" t="s">
        <v>1875</v>
      </c>
      <c r="F682" s="7" t="s">
        <v>3394</v>
      </c>
      <c r="G682" s="7" t="s">
        <v>1871</v>
      </c>
      <c r="H682" s="7">
        <v>1085296694</v>
      </c>
      <c r="I682" s="7">
        <v>1</v>
      </c>
      <c r="J682" s="7" t="s">
        <v>3395</v>
      </c>
      <c r="K682" s="8">
        <v>13144000</v>
      </c>
      <c r="L682" s="7" t="s">
        <v>2171</v>
      </c>
      <c r="M682" s="7" t="s">
        <v>3110</v>
      </c>
      <c r="N682" s="7" t="s">
        <v>3334</v>
      </c>
      <c r="O682" s="7"/>
      <c r="P682" s="13" t="s">
        <v>3396</v>
      </c>
    </row>
    <row r="683" spans="1:16" ht="30" x14ac:dyDescent="0.25">
      <c r="A683" s="7" t="s">
        <v>2042</v>
      </c>
      <c r="B683" s="7" t="str">
        <f>"0988"</f>
        <v>0988</v>
      </c>
      <c r="C683" s="7">
        <v>2020</v>
      </c>
      <c r="D683" s="7" t="s">
        <v>1867</v>
      </c>
      <c r="E683" s="7" t="s">
        <v>1875</v>
      </c>
      <c r="F683" s="7" t="s">
        <v>3397</v>
      </c>
      <c r="G683" s="7" t="s">
        <v>1871</v>
      </c>
      <c r="H683" s="7">
        <v>12994813</v>
      </c>
      <c r="I683" s="7">
        <v>1</v>
      </c>
      <c r="J683" s="7" t="s">
        <v>3398</v>
      </c>
      <c r="K683" s="8">
        <v>13144000</v>
      </c>
      <c r="L683" s="7" t="s">
        <v>2171</v>
      </c>
      <c r="M683" s="7" t="s">
        <v>3388</v>
      </c>
      <c r="N683" s="7" t="s">
        <v>3334</v>
      </c>
      <c r="O683" s="7"/>
      <c r="P683" s="13" t="s">
        <v>3399</v>
      </c>
    </row>
    <row r="684" spans="1:16" ht="30" x14ac:dyDescent="0.25">
      <c r="A684" s="7" t="s">
        <v>2042</v>
      </c>
      <c r="B684" s="7" t="str">
        <f>"0990"</f>
        <v>0990</v>
      </c>
      <c r="C684" s="7">
        <v>2020</v>
      </c>
      <c r="D684" s="7" t="s">
        <v>1867</v>
      </c>
      <c r="E684" s="7" t="s">
        <v>1875</v>
      </c>
      <c r="F684" s="7" t="s">
        <v>3403</v>
      </c>
      <c r="G684" s="7" t="s">
        <v>1871</v>
      </c>
      <c r="H684" s="7">
        <v>5208531</v>
      </c>
      <c r="I684" s="7">
        <v>2</v>
      </c>
      <c r="J684" s="7" t="s">
        <v>3404</v>
      </c>
      <c r="K684" s="8">
        <v>13144000</v>
      </c>
      <c r="L684" s="7" t="s">
        <v>2171</v>
      </c>
      <c r="M684" s="7" t="s">
        <v>3388</v>
      </c>
      <c r="N684" s="7" t="s">
        <v>3334</v>
      </c>
      <c r="O684" s="7"/>
      <c r="P684" s="13" t="s">
        <v>3405</v>
      </c>
    </row>
    <row r="685" spans="1:16" ht="30" x14ac:dyDescent="0.25">
      <c r="A685" s="7" t="s">
        <v>2042</v>
      </c>
      <c r="B685" s="7" t="str">
        <f>"0991"</f>
        <v>0991</v>
      </c>
      <c r="C685" s="7">
        <v>2020</v>
      </c>
      <c r="D685" s="7" t="s">
        <v>1867</v>
      </c>
      <c r="E685" s="7" t="s">
        <v>1875</v>
      </c>
      <c r="F685" s="7" t="s">
        <v>3406</v>
      </c>
      <c r="G685" s="7" t="s">
        <v>1871</v>
      </c>
      <c r="H685" s="7">
        <v>12955114</v>
      </c>
      <c r="I685" s="7">
        <v>3</v>
      </c>
      <c r="J685" s="7" t="s">
        <v>3407</v>
      </c>
      <c r="K685" s="8">
        <v>13144000</v>
      </c>
      <c r="L685" s="7" t="s">
        <v>2171</v>
      </c>
      <c r="M685" s="7" t="s">
        <v>3110</v>
      </c>
      <c r="N685" s="7" t="s">
        <v>3334</v>
      </c>
      <c r="O685" s="7"/>
      <c r="P685" s="13" t="s">
        <v>3408</v>
      </c>
    </row>
    <row r="686" spans="1:16" ht="30" x14ac:dyDescent="0.25">
      <c r="A686" s="7" t="s">
        <v>2042</v>
      </c>
      <c r="B686" s="7" t="str">
        <f>"0993"</f>
        <v>0993</v>
      </c>
      <c r="C686" s="7">
        <v>2020</v>
      </c>
      <c r="D686" s="7" t="s">
        <v>1867</v>
      </c>
      <c r="E686" s="7" t="s">
        <v>1875</v>
      </c>
      <c r="F686" s="7" t="s">
        <v>3412</v>
      </c>
      <c r="G686" s="7" t="s">
        <v>1871</v>
      </c>
      <c r="H686" s="7">
        <v>98387532</v>
      </c>
      <c r="I686" s="7">
        <v>4</v>
      </c>
      <c r="J686" s="7" t="s">
        <v>3413</v>
      </c>
      <c r="K686" s="8">
        <v>13144000</v>
      </c>
      <c r="L686" s="7" t="s">
        <v>2171</v>
      </c>
      <c r="M686" s="7" t="s">
        <v>3110</v>
      </c>
      <c r="N686" s="7" t="s">
        <v>3334</v>
      </c>
      <c r="O686" s="7"/>
      <c r="P686" s="13" t="s">
        <v>3414</v>
      </c>
    </row>
    <row r="687" spans="1:16" ht="30" x14ac:dyDescent="0.25">
      <c r="A687" s="7" t="s">
        <v>2042</v>
      </c>
      <c r="B687" s="7" t="str">
        <f>"0994"</f>
        <v>0994</v>
      </c>
      <c r="C687" s="7">
        <v>2020</v>
      </c>
      <c r="D687" s="7" t="s">
        <v>1867</v>
      </c>
      <c r="E687" s="7" t="s">
        <v>1875</v>
      </c>
      <c r="F687" s="7" t="s">
        <v>3415</v>
      </c>
      <c r="G687" s="7" t="s">
        <v>1871</v>
      </c>
      <c r="H687" s="7">
        <v>87717184</v>
      </c>
      <c r="I687" s="7">
        <v>1</v>
      </c>
      <c r="J687" s="7" t="s">
        <v>3416</v>
      </c>
      <c r="K687" s="8">
        <v>13144000</v>
      </c>
      <c r="L687" s="7" t="s">
        <v>2171</v>
      </c>
      <c r="M687" s="7" t="s">
        <v>3034</v>
      </c>
      <c r="N687" s="7" t="s">
        <v>3334</v>
      </c>
      <c r="O687" s="7"/>
      <c r="P687" s="13" t="s">
        <v>3417</v>
      </c>
    </row>
    <row r="688" spans="1:16" ht="30" x14ac:dyDescent="0.25">
      <c r="A688" s="7" t="s">
        <v>2042</v>
      </c>
      <c r="B688" s="7" t="str">
        <f>"0995"</f>
        <v>0995</v>
      </c>
      <c r="C688" s="7">
        <v>2020</v>
      </c>
      <c r="D688" s="7" t="s">
        <v>1867</v>
      </c>
      <c r="E688" s="7" t="s">
        <v>1868</v>
      </c>
      <c r="F688" s="7" t="s">
        <v>3418</v>
      </c>
      <c r="G688" s="7" t="s">
        <v>1871</v>
      </c>
      <c r="H688" s="7">
        <v>12999123</v>
      </c>
      <c r="I688" s="7">
        <v>9</v>
      </c>
      <c r="J688" s="7" t="s">
        <v>3419</v>
      </c>
      <c r="K688" s="8">
        <v>22048000</v>
      </c>
      <c r="L688" s="7" t="s">
        <v>2171</v>
      </c>
      <c r="M688" s="7" t="s">
        <v>3034</v>
      </c>
      <c r="N688" s="7" t="s">
        <v>3334</v>
      </c>
      <c r="O688" s="7"/>
      <c r="P688" s="13" t="s">
        <v>3420</v>
      </c>
    </row>
    <row r="689" spans="1:16" ht="30" x14ac:dyDescent="0.25">
      <c r="A689" s="7" t="s">
        <v>2042</v>
      </c>
      <c r="B689" s="7" t="str">
        <f>"0996"</f>
        <v>0996</v>
      </c>
      <c r="C689" s="7">
        <v>2020</v>
      </c>
      <c r="D689" s="7" t="s">
        <v>1867</v>
      </c>
      <c r="E689" s="7" t="s">
        <v>1875</v>
      </c>
      <c r="F689" s="7" t="s">
        <v>3421</v>
      </c>
      <c r="G689" s="7" t="s">
        <v>1871</v>
      </c>
      <c r="H689" s="7">
        <v>5203670</v>
      </c>
      <c r="I689" s="7">
        <v>5</v>
      </c>
      <c r="J689" s="7" t="s">
        <v>3422</v>
      </c>
      <c r="K689" s="8">
        <v>10400000</v>
      </c>
      <c r="L689" s="7" t="s">
        <v>2171</v>
      </c>
      <c r="M689" s="7" t="s">
        <v>3362</v>
      </c>
      <c r="N689" s="7" t="s">
        <v>3334</v>
      </c>
      <c r="O689" s="7"/>
      <c r="P689" s="13" t="s">
        <v>3423</v>
      </c>
    </row>
    <row r="690" spans="1:16" ht="30" x14ac:dyDescent="0.25">
      <c r="A690" s="7" t="s">
        <v>2042</v>
      </c>
      <c r="B690" s="7" t="str">
        <f>"0997"</f>
        <v>0997</v>
      </c>
      <c r="C690" s="7">
        <v>2020</v>
      </c>
      <c r="D690" s="7" t="s">
        <v>1867</v>
      </c>
      <c r="E690" s="7" t="s">
        <v>1875</v>
      </c>
      <c r="F690" s="7" t="s">
        <v>3424</v>
      </c>
      <c r="G690" s="7" t="s">
        <v>1871</v>
      </c>
      <c r="H690" s="7">
        <v>1087420195</v>
      </c>
      <c r="I690" s="7">
        <v>7</v>
      </c>
      <c r="J690" s="7" t="s">
        <v>3425</v>
      </c>
      <c r="K690" s="8">
        <v>10400000</v>
      </c>
      <c r="L690" s="7" t="s">
        <v>2171</v>
      </c>
      <c r="M690" s="7" t="s">
        <v>3362</v>
      </c>
      <c r="N690" s="7" t="s">
        <v>3334</v>
      </c>
      <c r="O690" s="7"/>
      <c r="P690" s="13" t="s">
        <v>3426</v>
      </c>
    </row>
    <row r="691" spans="1:16" ht="30" x14ac:dyDescent="0.25">
      <c r="A691" s="7" t="s">
        <v>2042</v>
      </c>
      <c r="B691" s="7" t="str">
        <f>"0998"</f>
        <v>0998</v>
      </c>
      <c r="C691" s="7">
        <v>2020</v>
      </c>
      <c r="D691" s="7" t="s">
        <v>1867</v>
      </c>
      <c r="E691" s="7" t="s">
        <v>1875</v>
      </c>
      <c r="F691" s="7" t="s">
        <v>3427</v>
      </c>
      <c r="G691" s="7" t="s">
        <v>1871</v>
      </c>
      <c r="H691" s="7">
        <v>12980219</v>
      </c>
      <c r="I691" s="7">
        <v>3</v>
      </c>
      <c r="J691" s="7" t="s">
        <v>3428</v>
      </c>
      <c r="K691" s="8">
        <v>13144000</v>
      </c>
      <c r="L691" s="7" t="s">
        <v>2171</v>
      </c>
      <c r="M691" s="7" t="s">
        <v>3044</v>
      </c>
      <c r="N691" s="7" t="s">
        <v>3334</v>
      </c>
      <c r="O691" s="7"/>
      <c r="P691" s="13" t="s">
        <v>3429</v>
      </c>
    </row>
    <row r="692" spans="1:16" ht="30" x14ac:dyDescent="0.25">
      <c r="A692" s="7" t="s">
        <v>2042</v>
      </c>
      <c r="B692" s="7" t="str">
        <f>"0999"</f>
        <v>0999</v>
      </c>
      <c r="C692" s="7">
        <v>2020</v>
      </c>
      <c r="D692" s="7" t="s">
        <v>1867</v>
      </c>
      <c r="E692" s="7" t="s">
        <v>1875</v>
      </c>
      <c r="F692" s="7" t="s">
        <v>3430</v>
      </c>
      <c r="G692" s="7" t="s">
        <v>1871</v>
      </c>
      <c r="H692" s="7">
        <v>59311670</v>
      </c>
      <c r="I692" s="7">
        <v>4</v>
      </c>
      <c r="J692" s="7" t="s">
        <v>3431</v>
      </c>
      <c r="K692" s="8">
        <v>13144000</v>
      </c>
      <c r="L692" s="7" t="s">
        <v>2171</v>
      </c>
      <c r="M692" s="7" t="s">
        <v>3110</v>
      </c>
      <c r="N692" s="7" t="s">
        <v>3334</v>
      </c>
      <c r="O692" s="7"/>
      <c r="P692" s="13" t="s">
        <v>3432</v>
      </c>
    </row>
    <row r="693" spans="1:16" ht="30" x14ac:dyDescent="0.25">
      <c r="A693" s="7" t="s">
        <v>2042</v>
      </c>
      <c r="B693" s="7" t="str">
        <f>"1001"</f>
        <v>1001</v>
      </c>
      <c r="C693" s="7">
        <v>2020</v>
      </c>
      <c r="D693" s="7" t="s">
        <v>1867</v>
      </c>
      <c r="E693" s="7" t="s">
        <v>1875</v>
      </c>
      <c r="F693" s="7" t="s">
        <v>3437</v>
      </c>
      <c r="G693" s="7" t="s">
        <v>1871</v>
      </c>
      <c r="H693" s="7">
        <v>1085270171</v>
      </c>
      <c r="I693" s="7">
        <v>9</v>
      </c>
      <c r="J693" s="7" t="s">
        <v>3438</v>
      </c>
      <c r="K693" s="8">
        <v>13144000</v>
      </c>
      <c r="L693" s="7" t="s">
        <v>2171</v>
      </c>
      <c r="M693" s="7" t="s">
        <v>3388</v>
      </c>
      <c r="N693" s="7" t="s">
        <v>3334</v>
      </c>
      <c r="O693" s="7"/>
      <c r="P693" s="13" t="s">
        <v>3439</v>
      </c>
    </row>
    <row r="694" spans="1:16" ht="30" x14ac:dyDescent="0.25">
      <c r="A694" s="7" t="s">
        <v>2042</v>
      </c>
      <c r="B694" s="7" t="str">
        <f>"1002"</f>
        <v>1002</v>
      </c>
      <c r="C694" s="7">
        <v>2020</v>
      </c>
      <c r="D694" s="7" t="s">
        <v>1867</v>
      </c>
      <c r="E694" s="7" t="s">
        <v>1875</v>
      </c>
      <c r="F694" s="7" t="s">
        <v>3440</v>
      </c>
      <c r="G694" s="7" t="s">
        <v>1871</v>
      </c>
      <c r="H694" s="7">
        <v>1057570859</v>
      </c>
      <c r="I694" s="7">
        <v>2</v>
      </c>
      <c r="J694" s="7" t="s">
        <v>3441</v>
      </c>
      <c r="K694" s="8">
        <v>24671504</v>
      </c>
      <c r="L694" s="7" t="s">
        <v>2171</v>
      </c>
      <c r="M694" s="7" t="s">
        <v>3388</v>
      </c>
      <c r="N694" s="7" t="s">
        <v>3334</v>
      </c>
      <c r="O694" s="7"/>
      <c r="P694" s="13" t="s">
        <v>3442</v>
      </c>
    </row>
    <row r="695" spans="1:16" ht="30" x14ac:dyDescent="0.25">
      <c r="A695" s="7" t="s">
        <v>2042</v>
      </c>
      <c r="B695" s="7" t="str">
        <f>"1003"</f>
        <v>1003</v>
      </c>
      <c r="C695" s="7">
        <v>2020</v>
      </c>
      <c r="D695" s="7" t="s">
        <v>1867</v>
      </c>
      <c r="E695" s="7" t="s">
        <v>1868</v>
      </c>
      <c r="F695" s="7" t="s">
        <v>3443</v>
      </c>
      <c r="G695" s="7" t="s">
        <v>1871</v>
      </c>
      <c r="H695" s="7">
        <v>17345086</v>
      </c>
      <c r="I695" s="7">
        <v>6</v>
      </c>
      <c r="J695" s="7" t="s">
        <v>3444</v>
      </c>
      <c r="K695" s="8">
        <v>10400000</v>
      </c>
      <c r="L695" s="7" t="s">
        <v>2171</v>
      </c>
      <c r="M695" s="7" t="s">
        <v>3388</v>
      </c>
      <c r="N695" s="7" t="s">
        <v>3334</v>
      </c>
      <c r="O695" s="7"/>
      <c r="P695" s="13" t="s">
        <v>3445</v>
      </c>
    </row>
    <row r="696" spans="1:16" ht="30" x14ac:dyDescent="0.25">
      <c r="A696" s="7" t="s">
        <v>2042</v>
      </c>
      <c r="B696" s="7" t="str">
        <f>"1000"</f>
        <v>1000</v>
      </c>
      <c r="C696" s="7">
        <v>2020</v>
      </c>
      <c r="D696" s="7" t="s">
        <v>1867</v>
      </c>
      <c r="E696" s="7" t="s">
        <v>1868</v>
      </c>
      <c r="F696" s="7" t="s">
        <v>3433</v>
      </c>
      <c r="G696" s="7" t="s">
        <v>1871</v>
      </c>
      <c r="H696" s="7">
        <v>1089244301</v>
      </c>
      <c r="I696" s="7">
        <v>4</v>
      </c>
      <c r="J696" s="7" t="s">
        <v>3434</v>
      </c>
      <c r="K696" s="8">
        <v>13144000</v>
      </c>
      <c r="L696" s="7" t="s">
        <v>2171</v>
      </c>
      <c r="M696" s="7" t="s">
        <v>3173</v>
      </c>
      <c r="N696" s="7" t="s">
        <v>3435</v>
      </c>
      <c r="O696" s="7"/>
      <c r="P696" s="13" t="s">
        <v>3436</v>
      </c>
    </row>
    <row r="697" spans="1:16" x14ac:dyDescent="0.25">
      <c r="A697" s="7" t="s">
        <v>2042</v>
      </c>
      <c r="B697" s="7" t="str">
        <f>"1004"</f>
        <v>1004</v>
      </c>
      <c r="C697" s="7">
        <v>2020</v>
      </c>
      <c r="D697" s="7" t="s">
        <v>1867</v>
      </c>
      <c r="E697" s="7" t="s">
        <v>1875</v>
      </c>
      <c r="F697" s="7" t="s">
        <v>3446</v>
      </c>
      <c r="G697" s="7" t="s">
        <v>1871</v>
      </c>
      <c r="H697" s="7">
        <v>12988723</v>
      </c>
      <c r="I697" s="7">
        <v>8</v>
      </c>
      <c r="J697" s="7" t="s">
        <v>3447</v>
      </c>
      <c r="K697" s="8">
        <v>13144000</v>
      </c>
      <c r="L697" s="7" t="s">
        <v>2171</v>
      </c>
      <c r="M697" s="7" t="s">
        <v>3120</v>
      </c>
      <c r="N697" s="7" t="s">
        <v>3435</v>
      </c>
      <c r="O697" s="7"/>
      <c r="P697" s="13" t="s">
        <v>1993</v>
      </c>
    </row>
    <row r="698" spans="1:16" ht="30" x14ac:dyDescent="0.25">
      <c r="A698" s="7" t="s">
        <v>2042</v>
      </c>
      <c r="B698" s="7" t="str">
        <f>"1005"</f>
        <v>1005</v>
      </c>
      <c r="C698" s="7">
        <v>2020</v>
      </c>
      <c r="D698" s="7" t="s">
        <v>1867</v>
      </c>
      <c r="E698" s="7" t="s">
        <v>1875</v>
      </c>
      <c r="F698" s="7" t="s">
        <v>3448</v>
      </c>
      <c r="G698" s="7" t="s">
        <v>1871</v>
      </c>
      <c r="H698" s="7">
        <v>1085277544</v>
      </c>
      <c r="I698" s="7">
        <v>4</v>
      </c>
      <c r="J698" s="7" t="s">
        <v>3449</v>
      </c>
      <c r="K698" s="8">
        <v>10400000</v>
      </c>
      <c r="L698" s="7" t="s">
        <v>2171</v>
      </c>
      <c r="M698" s="7" t="s">
        <v>2832</v>
      </c>
      <c r="N698" s="7" t="s">
        <v>3435</v>
      </c>
      <c r="O698" s="7"/>
      <c r="P698" s="13" t="s">
        <v>3450</v>
      </c>
    </row>
    <row r="699" spans="1:16" ht="30" x14ac:dyDescent="0.25">
      <c r="A699" s="7" t="s">
        <v>2042</v>
      </c>
      <c r="B699" s="7" t="str">
        <f>"1145"</f>
        <v>1145</v>
      </c>
      <c r="C699" s="7">
        <v>2020</v>
      </c>
      <c r="D699" s="7" t="s">
        <v>1867</v>
      </c>
      <c r="E699" s="7" t="s">
        <v>1875</v>
      </c>
      <c r="F699" s="7" t="s">
        <v>3650</v>
      </c>
      <c r="G699" s="7" t="s">
        <v>1871</v>
      </c>
      <c r="H699" s="7">
        <v>1069733346</v>
      </c>
      <c r="I699" s="7">
        <v>0</v>
      </c>
      <c r="J699" s="7" t="s">
        <v>3651</v>
      </c>
      <c r="K699" s="8">
        <v>10400000</v>
      </c>
      <c r="L699" s="7" t="s">
        <v>2306</v>
      </c>
      <c r="M699" s="7" t="s">
        <v>3388</v>
      </c>
      <c r="N699" s="7" t="s">
        <v>2994</v>
      </c>
      <c r="O699" s="7"/>
      <c r="P699" s="13" t="s">
        <v>3652</v>
      </c>
    </row>
    <row r="700" spans="1:16" ht="30" x14ac:dyDescent="0.25">
      <c r="A700" s="7" t="s">
        <v>2042</v>
      </c>
      <c r="B700" s="7" t="str">
        <f>"1149"</f>
        <v>1149</v>
      </c>
      <c r="C700" s="7">
        <v>2020</v>
      </c>
      <c r="D700" s="7" t="s">
        <v>1867</v>
      </c>
      <c r="E700" s="7" t="s">
        <v>1875</v>
      </c>
      <c r="F700" s="7" t="s">
        <v>3653</v>
      </c>
      <c r="G700" s="7" t="s">
        <v>1871</v>
      </c>
      <c r="H700" s="7">
        <v>98138566</v>
      </c>
      <c r="I700" s="7">
        <v>7</v>
      </c>
      <c r="J700" s="7" t="s">
        <v>3654</v>
      </c>
      <c r="K700" s="8">
        <v>13144000</v>
      </c>
      <c r="L700" s="7" t="s">
        <v>2306</v>
      </c>
      <c r="M700" s="7" t="s">
        <v>3388</v>
      </c>
      <c r="N700" s="7" t="s">
        <v>2994</v>
      </c>
      <c r="O700" s="7"/>
      <c r="P700" s="13" t="s">
        <v>3655</v>
      </c>
    </row>
    <row r="701" spans="1:16" ht="30" x14ac:dyDescent="0.25">
      <c r="A701" s="7" t="s">
        <v>2042</v>
      </c>
      <c r="B701" s="7" t="str">
        <f>"1151"</f>
        <v>1151</v>
      </c>
      <c r="C701" s="7">
        <v>2020</v>
      </c>
      <c r="D701" s="7" t="s">
        <v>1867</v>
      </c>
      <c r="E701" s="7" t="s">
        <v>1868</v>
      </c>
      <c r="F701" s="7" t="s">
        <v>3660</v>
      </c>
      <c r="G701" s="7" t="s">
        <v>1871</v>
      </c>
      <c r="H701" s="7">
        <v>6759297</v>
      </c>
      <c r="I701" s="7">
        <v>0</v>
      </c>
      <c r="J701" s="7" t="s">
        <v>3661</v>
      </c>
      <c r="K701" s="8">
        <v>27200000</v>
      </c>
      <c r="L701" s="7" t="s">
        <v>2306</v>
      </c>
      <c r="M701" s="7" t="s">
        <v>3388</v>
      </c>
      <c r="N701" s="7" t="s">
        <v>2994</v>
      </c>
      <c r="O701" s="7"/>
      <c r="P701" s="13" t="s">
        <v>3662</v>
      </c>
    </row>
    <row r="702" spans="1:16" ht="30" x14ac:dyDescent="0.25">
      <c r="A702" s="7" t="s">
        <v>2042</v>
      </c>
      <c r="B702" s="7" t="str">
        <f>"1153"</f>
        <v>1153</v>
      </c>
      <c r="C702" s="7">
        <v>2020</v>
      </c>
      <c r="D702" s="7" t="s">
        <v>1867</v>
      </c>
      <c r="E702" s="7" t="s">
        <v>1875</v>
      </c>
      <c r="F702" s="7" t="s">
        <v>3665</v>
      </c>
      <c r="G702" s="7" t="s">
        <v>1871</v>
      </c>
      <c r="H702" s="7">
        <v>1085288939</v>
      </c>
      <c r="I702" s="7">
        <v>7</v>
      </c>
      <c r="J702" s="7" t="s">
        <v>3666</v>
      </c>
      <c r="K702" s="8">
        <v>13144000</v>
      </c>
      <c r="L702" s="7" t="s">
        <v>2306</v>
      </c>
      <c r="M702" s="7" t="s">
        <v>3110</v>
      </c>
      <c r="N702" s="7" t="s">
        <v>2994</v>
      </c>
      <c r="O702" s="7"/>
      <c r="P702" s="13" t="s">
        <v>3667</v>
      </c>
    </row>
    <row r="703" spans="1:16" ht="30" x14ac:dyDescent="0.25">
      <c r="A703" s="7" t="s">
        <v>2042</v>
      </c>
      <c r="B703" s="7" t="str">
        <f>"1154"</f>
        <v>1154</v>
      </c>
      <c r="C703" s="7">
        <v>2020</v>
      </c>
      <c r="D703" s="7" t="s">
        <v>1867</v>
      </c>
      <c r="E703" s="7" t="s">
        <v>1875</v>
      </c>
      <c r="F703" s="7" t="s">
        <v>3668</v>
      </c>
      <c r="G703" s="7" t="s">
        <v>1871</v>
      </c>
      <c r="H703" s="7">
        <v>1087199949</v>
      </c>
      <c r="I703" s="7">
        <v>6</v>
      </c>
      <c r="J703" s="7" t="s">
        <v>3669</v>
      </c>
      <c r="K703" s="8">
        <v>13144000</v>
      </c>
      <c r="L703" s="7" t="s">
        <v>2306</v>
      </c>
      <c r="M703" s="7" t="s">
        <v>3305</v>
      </c>
      <c r="N703" s="7" t="s">
        <v>2994</v>
      </c>
      <c r="O703" s="7"/>
      <c r="P703" s="13" t="s">
        <v>3670</v>
      </c>
    </row>
    <row r="704" spans="1:16" x14ac:dyDescent="0.25">
      <c r="A704" s="7" t="s">
        <v>2042</v>
      </c>
      <c r="B704" s="7" t="str">
        <f>"1155"</f>
        <v>1155</v>
      </c>
      <c r="C704" s="7">
        <v>2020</v>
      </c>
      <c r="D704" s="7" t="s">
        <v>1867</v>
      </c>
      <c r="E704" s="7" t="s">
        <v>1875</v>
      </c>
      <c r="F704" s="7" t="s">
        <v>3671</v>
      </c>
      <c r="G704" s="7" t="s">
        <v>1871</v>
      </c>
      <c r="H704" s="7">
        <v>59806158</v>
      </c>
      <c r="I704" s="7">
        <v>1</v>
      </c>
      <c r="J704" s="7" t="s">
        <v>3672</v>
      </c>
      <c r="K704" s="8">
        <v>10400000</v>
      </c>
      <c r="L704" s="7" t="s">
        <v>2306</v>
      </c>
      <c r="M704" s="7" t="s">
        <v>3110</v>
      </c>
      <c r="N704" s="7" t="s">
        <v>2994</v>
      </c>
      <c r="O704" s="7"/>
      <c r="P704" s="13" t="s">
        <v>1993</v>
      </c>
    </row>
    <row r="705" spans="1:16" ht="30" x14ac:dyDescent="0.25">
      <c r="A705" s="7" t="s">
        <v>2042</v>
      </c>
      <c r="B705" s="7" t="str">
        <f>"1156"</f>
        <v>1156</v>
      </c>
      <c r="C705" s="7">
        <v>2020</v>
      </c>
      <c r="D705" s="7" t="s">
        <v>1867</v>
      </c>
      <c r="E705" s="7" t="s">
        <v>1868</v>
      </c>
      <c r="F705" s="7" t="s">
        <v>3673</v>
      </c>
      <c r="G705" s="7" t="s">
        <v>1871</v>
      </c>
      <c r="H705" s="7">
        <v>1085299101</v>
      </c>
      <c r="I705" s="7">
        <v>1</v>
      </c>
      <c r="J705" s="7" t="s">
        <v>3674</v>
      </c>
      <c r="K705" s="8">
        <v>21200000</v>
      </c>
      <c r="L705" s="7" t="s">
        <v>2306</v>
      </c>
      <c r="M705" s="7" t="s">
        <v>3044</v>
      </c>
      <c r="N705" s="7" t="s">
        <v>2994</v>
      </c>
      <c r="O705" s="7"/>
      <c r="P705" s="13" t="s">
        <v>3675</v>
      </c>
    </row>
    <row r="706" spans="1:16" ht="30" x14ac:dyDescent="0.25">
      <c r="A706" s="7" t="s">
        <v>2042</v>
      </c>
      <c r="B706" s="7" t="str">
        <f>"1150"</f>
        <v>1150</v>
      </c>
      <c r="C706" s="7">
        <v>2020</v>
      </c>
      <c r="D706" s="7" t="s">
        <v>1867</v>
      </c>
      <c r="E706" s="7" t="s">
        <v>1875</v>
      </c>
      <c r="F706" s="7" t="s">
        <v>3656</v>
      </c>
      <c r="G706" s="7" t="s">
        <v>1871</v>
      </c>
      <c r="H706" s="7">
        <v>13065023</v>
      </c>
      <c r="I706" s="7">
        <v>6</v>
      </c>
      <c r="J706" s="7" t="s">
        <v>3657</v>
      </c>
      <c r="K706" s="8">
        <v>10400000</v>
      </c>
      <c r="L706" s="7" t="s">
        <v>2306</v>
      </c>
      <c r="M706" s="7" t="s">
        <v>3120</v>
      </c>
      <c r="N706" s="7" t="s">
        <v>3658</v>
      </c>
      <c r="O706" s="7"/>
      <c r="P706" s="13" t="s">
        <v>3659</v>
      </c>
    </row>
    <row r="707" spans="1:16" x14ac:dyDescent="0.25">
      <c r="A707" s="7" t="s">
        <v>2042</v>
      </c>
      <c r="B707" s="7" t="str">
        <f>"1152"</f>
        <v>1152</v>
      </c>
      <c r="C707" s="7">
        <v>2020</v>
      </c>
      <c r="D707" s="7" t="s">
        <v>1867</v>
      </c>
      <c r="E707" s="7" t="s">
        <v>1875</v>
      </c>
      <c r="F707" s="7" t="s">
        <v>3663</v>
      </c>
      <c r="G707" s="7" t="s">
        <v>1871</v>
      </c>
      <c r="H707" s="7">
        <v>1085284353</v>
      </c>
      <c r="I707" s="7">
        <v>7</v>
      </c>
      <c r="J707" s="7" t="s">
        <v>3664</v>
      </c>
      <c r="K707" s="8">
        <v>20000000</v>
      </c>
      <c r="L707" s="7" t="s">
        <v>2306</v>
      </c>
      <c r="M707" s="7" t="s">
        <v>3120</v>
      </c>
      <c r="N707" s="7" t="s">
        <v>3658</v>
      </c>
      <c r="O707" s="7"/>
      <c r="P707" s="13" t="s">
        <v>1993</v>
      </c>
    </row>
    <row r="708" spans="1:16" x14ac:dyDescent="0.25">
      <c r="A708" s="7" t="s">
        <v>2042</v>
      </c>
      <c r="B708" s="7" t="str">
        <f>"1182"</f>
        <v>1182</v>
      </c>
      <c r="C708" s="7">
        <v>2020</v>
      </c>
      <c r="D708" s="7" t="s">
        <v>1867</v>
      </c>
      <c r="E708" s="7" t="s">
        <v>1875</v>
      </c>
      <c r="F708" s="7" t="s">
        <v>3690</v>
      </c>
      <c r="G708" s="7" t="s">
        <v>1871</v>
      </c>
      <c r="H708" s="7">
        <v>12976417</v>
      </c>
      <c r="I708" s="7">
        <v>1</v>
      </c>
      <c r="J708" s="7" t="s">
        <v>3691</v>
      </c>
      <c r="K708" s="8">
        <v>10400000</v>
      </c>
      <c r="L708" s="7" t="s">
        <v>2204</v>
      </c>
      <c r="M708" s="7" t="s">
        <v>3110</v>
      </c>
      <c r="N708" s="7" t="s">
        <v>3658</v>
      </c>
      <c r="O708" s="7"/>
      <c r="P708" s="13" t="s">
        <v>1993</v>
      </c>
    </row>
    <row r="709" spans="1:16" ht="30" x14ac:dyDescent="0.25">
      <c r="A709" s="7" t="s">
        <v>2042</v>
      </c>
      <c r="B709" s="7" t="str">
        <f>"1183"</f>
        <v>1183</v>
      </c>
      <c r="C709" s="7">
        <v>2020</v>
      </c>
      <c r="D709" s="7" t="s">
        <v>1867</v>
      </c>
      <c r="E709" s="7" t="s">
        <v>1875</v>
      </c>
      <c r="F709" s="7" t="s">
        <v>3692</v>
      </c>
      <c r="G709" s="7" t="s">
        <v>1871</v>
      </c>
      <c r="H709" s="7">
        <v>1085330803</v>
      </c>
      <c r="I709" s="7">
        <v>3</v>
      </c>
      <c r="J709" s="7" t="s">
        <v>3693</v>
      </c>
      <c r="K709" s="8">
        <v>10400000</v>
      </c>
      <c r="L709" s="7" t="s">
        <v>2204</v>
      </c>
      <c r="M709" s="7" t="s">
        <v>3034</v>
      </c>
      <c r="N709" s="7" t="s">
        <v>3658</v>
      </c>
      <c r="O709" s="7"/>
      <c r="P709" s="13" t="s">
        <v>3694</v>
      </c>
    </row>
    <row r="710" spans="1:16" ht="30" x14ac:dyDescent="0.25">
      <c r="A710" s="7" t="s">
        <v>2042</v>
      </c>
      <c r="B710" s="7" t="str">
        <f>"1184"</f>
        <v>1184</v>
      </c>
      <c r="C710" s="7">
        <v>2020</v>
      </c>
      <c r="D710" s="7" t="s">
        <v>1867</v>
      </c>
      <c r="E710" s="7" t="s">
        <v>1875</v>
      </c>
      <c r="F710" s="7" t="s">
        <v>3695</v>
      </c>
      <c r="G710" s="7" t="s">
        <v>1871</v>
      </c>
      <c r="H710" s="7">
        <v>1085293305</v>
      </c>
      <c r="I710" s="7">
        <v>8</v>
      </c>
      <c r="J710" s="7" t="s">
        <v>3696</v>
      </c>
      <c r="K710" s="8">
        <v>10400000</v>
      </c>
      <c r="L710" s="7" t="s">
        <v>2204</v>
      </c>
      <c r="M710" s="7" t="s">
        <v>3362</v>
      </c>
      <c r="N710" s="7" t="s">
        <v>3658</v>
      </c>
      <c r="O710" s="7"/>
      <c r="P710" s="13" t="s">
        <v>3697</v>
      </c>
    </row>
    <row r="711" spans="1:16" ht="30" x14ac:dyDescent="0.25">
      <c r="A711" s="7" t="s">
        <v>2042</v>
      </c>
      <c r="B711" s="7" t="str">
        <f>"1181"</f>
        <v>1181</v>
      </c>
      <c r="C711" s="7">
        <v>2020</v>
      </c>
      <c r="D711" s="7" t="s">
        <v>1867</v>
      </c>
      <c r="E711" s="7" t="s">
        <v>1875</v>
      </c>
      <c r="F711" s="7" t="s">
        <v>3686</v>
      </c>
      <c r="G711" s="7" t="s">
        <v>1871</v>
      </c>
      <c r="H711" s="7">
        <v>1085245421</v>
      </c>
      <c r="I711" s="7">
        <v>1</v>
      </c>
      <c r="J711" s="7" t="s">
        <v>3687</v>
      </c>
      <c r="K711" s="8">
        <v>13144000</v>
      </c>
      <c r="L711" s="7" t="s">
        <v>2204</v>
      </c>
      <c r="M711" s="7" t="s">
        <v>3120</v>
      </c>
      <c r="N711" s="7" t="s">
        <v>3688</v>
      </c>
      <c r="O711" s="7"/>
      <c r="P711" s="13" t="s">
        <v>3689</v>
      </c>
    </row>
    <row r="712" spans="1:16" ht="30" x14ac:dyDescent="0.25">
      <c r="A712" s="7" t="s">
        <v>2042</v>
      </c>
      <c r="B712" s="7" t="str">
        <f>"1290"</f>
        <v>1290</v>
      </c>
      <c r="C712" s="7">
        <v>2020</v>
      </c>
      <c r="D712" s="7" t="s">
        <v>1867</v>
      </c>
      <c r="E712" s="7" t="s">
        <v>1875</v>
      </c>
      <c r="F712" s="7" t="s">
        <v>3750</v>
      </c>
      <c r="G712" s="7" t="s">
        <v>1871</v>
      </c>
      <c r="H712" s="7">
        <v>98348754</v>
      </c>
      <c r="I712" s="7">
        <v>6</v>
      </c>
      <c r="J712" s="7" t="s">
        <v>3751</v>
      </c>
      <c r="K712" s="8">
        <v>13144000</v>
      </c>
      <c r="L712" s="7" t="s">
        <v>2439</v>
      </c>
      <c r="M712" s="7" t="s">
        <v>3752</v>
      </c>
      <c r="N712" s="7" t="s">
        <v>3599</v>
      </c>
      <c r="O712" s="7"/>
      <c r="P712" s="13" t="s">
        <v>3753</v>
      </c>
    </row>
    <row r="713" spans="1:16" ht="30" x14ac:dyDescent="0.25">
      <c r="A713" s="7" t="s">
        <v>2042</v>
      </c>
      <c r="B713" s="7" t="str">
        <f>"1292"</f>
        <v>1292</v>
      </c>
      <c r="C713" s="7">
        <v>2020</v>
      </c>
      <c r="D713" s="7" t="s">
        <v>1867</v>
      </c>
      <c r="E713" s="7" t="s">
        <v>1875</v>
      </c>
      <c r="F713" s="7" t="s">
        <v>3757</v>
      </c>
      <c r="G713" s="7" t="s">
        <v>1871</v>
      </c>
      <c r="H713" s="7">
        <v>13056662</v>
      </c>
      <c r="I713" s="7">
        <v>4</v>
      </c>
      <c r="J713" s="7" t="s">
        <v>3758</v>
      </c>
      <c r="K713" s="8">
        <v>13144000</v>
      </c>
      <c r="L713" s="7" t="s">
        <v>2439</v>
      </c>
      <c r="M713" s="7" t="s">
        <v>3152</v>
      </c>
      <c r="N713" s="7" t="s">
        <v>3599</v>
      </c>
      <c r="O713" s="7"/>
      <c r="P713" s="13" t="s">
        <v>3759</v>
      </c>
    </row>
    <row r="714" spans="1:16" ht="30" x14ac:dyDescent="0.25">
      <c r="A714" s="7" t="s">
        <v>2042</v>
      </c>
      <c r="B714" s="7" t="str">
        <f>"1288"</f>
        <v>1288</v>
      </c>
      <c r="C714" s="7">
        <v>2020</v>
      </c>
      <c r="D714" s="7" t="s">
        <v>1867</v>
      </c>
      <c r="E714" s="7" t="s">
        <v>1875</v>
      </c>
      <c r="F714" s="7" t="s">
        <v>3744</v>
      </c>
      <c r="G714" s="7" t="s">
        <v>1871</v>
      </c>
      <c r="H714" s="7">
        <v>12979166</v>
      </c>
      <c r="I714" s="7">
        <v>1</v>
      </c>
      <c r="J714" s="7" t="s">
        <v>3745</v>
      </c>
      <c r="K714" s="8">
        <v>13144000</v>
      </c>
      <c r="L714" s="7" t="s">
        <v>2439</v>
      </c>
      <c r="M714" s="7" t="s">
        <v>3388</v>
      </c>
      <c r="N714" s="7" t="s">
        <v>2156</v>
      </c>
      <c r="O714" s="7"/>
      <c r="P714" s="13" t="s">
        <v>3746</v>
      </c>
    </row>
    <row r="715" spans="1:16" ht="30" x14ac:dyDescent="0.25">
      <c r="A715" s="7" t="s">
        <v>2042</v>
      </c>
      <c r="B715" s="7" t="str">
        <f>"1289"</f>
        <v>1289</v>
      </c>
      <c r="C715" s="7">
        <v>2020</v>
      </c>
      <c r="D715" s="7" t="s">
        <v>1867</v>
      </c>
      <c r="E715" s="7" t="s">
        <v>1875</v>
      </c>
      <c r="F715" s="7" t="s">
        <v>3747</v>
      </c>
      <c r="G715" s="7" t="s">
        <v>1871</v>
      </c>
      <c r="H715" s="7">
        <v>5228244</v>
      </c>
      <c r="I715" s="7">
        <v>2</v>
      </c>
      <c r="J715" s="7" t="s">
        <v>3748</v>
      </c>
      <c r="K715" s="8">
        <v>13144000</v>
      </c>
      <c r="L715" s="7" t="s">
        <v>2439</v>
      </c>
      <c r="M715" s="7" t="s">
        <v>3388</v>
      </c>
      <c r="N715" s="7" t="s">
        <v>2156</v>
      </c>
      <c r="O715" s="7"/>
      <c r="P715" s="13" t="s">
        <v>3749</v>
      </c>
    </row>
    <row r="716" spans="1:16" ht="30" x14ac:dyDescent="0.25">
      <c r="A716" s="7" t="s">
        <v>2042</v>
      </c>
      <c r="B716" s="7" t="str">
        <f>"1291"</f>
        <v>1291</v>
      </c>
      <c r="C716" s="7">
        <v>2020</v>
      </c>
      <c r="D716" s="7" t="s">
        <v>1867</v>
      </c>
      <c r="E716" s="7" t="s">
        <v>1875</v>
      </c>
      <c r="F716" s="7" t="s">
        <v>3754</v>
      </c>
      <c r="G716" s="7" t="s">
        <v>1871</v>
      </c>
      <c r="H716" s="7">
        <v>1085297242</v>
      </c>
      <c r="I716" s="7">
        <v>0</v>
      </c>
      <c r="J716" s="7" t="s">
        <v>3755</v>
      </c>
      <c r="K716" s="8">
        <v>10400000</v>
      </c>
      <c r="L716" s="7" t="s">
        <v>2439</v>
      </c>
      <c r="M716" s="7" t="s">
        <v>3152</v>
      </c>
      <c r="N716" s="7" t="s">
        <v>2156</v>
      </c>
      <c r="O716" s="7"/>
      <c r="P716" s="13" t="s">
        <v>3756</v>
      </c>
    </row>
    <row r="717" spans="1:16" x14ac:dyDescent="0.25">
      <c r="A717" s="7" t="s">
        <v>2042</v>
      </c>
      <c r="B717" s="7" t="str">
        <f>"1630"</f>
        <v>1630</v>
      </c>
      <c r="C717" s="7">
        <v>2020</v>
      </c>
      <c r="D717" s="7" t="s">
        <v>1867</v>
      </c>
      <c r="E717" s="7" t="s">
        <v>1868</v>
      </c>
      <c r="F717" s="7" t="s">
        <v>4235</v>
      </c>
      <c r="G717" s="7" t="s">
        <v>1871</v>
      </c>
      <c r="H717" s="7">
        <v>1085251524</v>
      </c>
      <c r="I717" s="7"/>
      <c r="J717" s="7" t="s">
        <v>4236</v>
      </c>
      <c r="K717" s="8">
        <v>9200000</v>
      </c>
      <c r="L717" s="7" t="s">
        <v>1909</v>
      </c>
      <c r="M717" s="7" t="s">
        <v>3358</v>
      </c>
      <c r="N717" s="7" t="s">
        <v>1974</v>
      </c>
      <c r="O717" s="7"/>
      <c r="P717" s="13" t="s">
        <v>1993</v>
      </c>
    </row>
    <row r="718" spans="1:16" x14ac:dyDescent="0.25">
      <c r="A718" s="7" t="s">
        <v>2042</v>
      </c>
      <c r="B718" s="7" t="str">
        <f>"1654"</f>
        <v>1654</v>
      </c>
      <c r="C718" s="7">
        <v>2020</v>
      </c>
      <c r="D718" s="7" t="s">
        <v>1867</v>
      </c>
      <c r="E718" s="7" t="s">
        <v>1868</v>
      </c>
      <c r="F718" s="7" t="s">
        <v>4253</v>
      </c>
      <c r="G718" s="7" t="s">
        <v>1871</v>
      </c>
      <c r="H718" s="7">
        <v>1085280421</v>
      </c>
      <c r="I718" s="7"/>
      <c r="J718" s="7" t="s">
        <v>4254</v>
      </c>
      <c r="K718" s="8">
        <v>13944000</v>
      </c>
      <c r="L718" s="7" t="s">
        <v>1915</v>
      </c>
      <c r="M718" s="7" t="s">
        <v>4203</v>
      </c>
      <c r="N718" s="7" t="s">
        <v>1974</v>
      </c>
      <c r="O718" s="7"/>
      <c r="P718" s="13" t="s">
        <v>1993</v>
      </c>
    </row>
    <row r="719" spans="1:16" x14ac:dyDescent="0.25">
      <c r="A719" s="7" t="s">
        <v>2042</v>
      </c>
      <c r="B719" s="7" t="str">
        <f>"1655"</f>
        <v>1655</v>
      </c>
      <c r="C719" s="7">
        <v>2020</v>
      </c>
      <c r="D719" s="7" t="s">
        <v>1867</v>
      </c>
      <c r="E719" s="7" t="s">
        <v>1875</v>
      </c>
      <c r="F719" s="7" t="s">
        <v>4255</v>
      </c>
      <c r="G719" s="7" t="s">
        <v>1871</v>
      </c>
      <c r="H719" s="7">
        <v>1085272336</v>
      </c>
      <c r="I719" s="7">
        <v>6</v>
      </c>
      <c r="J719" s="7" t="s">
        <v>4256</v>
      </c>
      <c r="K719" s="8">
        <v>10080000</v>
      </c>
      <c r="L719" s="7" t="s">
        <v>1915</v>
      </c>
      <c r="M719" s="7" t="s">
        <v>4203</v>
      </c>
      <c r="N719" s="7" t="s">
        <v>1974</v>
      </c>
      <c r="O719" s="7"/>
      <c r="P719" s="13" t="s">
        <v>1993</v>
      </c>
    </row>
    <row r="720" spans="1:16" x14ac:dyDescent="0.25">
      <c r="A720" s="7" t="s">
        <v>2042</v>
      </c>
      <c r="B720" s="7" t="str">
        <f>"1688"</f>
        <v>1688</v>
      </c>
      <c r="C720" s="7">
        <v>2020</v>
      </c>
      <c r="D720" s="7" t="s">
        <v>1867</v>
      </c>
      <c r="E720" s="7" t="s">
        <v>1868</v>
      </c>
      <c r="F720" s="7" t="s">
        <v>4275</v>
      </c>
      <c r="G720" s="7" t="s">
        <v>1871</v>
      </c>
      <c r="H720" s="7">
        <v>1085265427</v>
      </c>
      <c r="I720" s="7">
        <v>9</v>
      </c>
      <c r="J720" s="7" t="s">
        <v>4276</v>
      </c>
      <c r="K720" s="8">
        <v>11550000</v>
      </c>
      <c r="L720" s="7" t="s">
        <v>3476</v>
      </c>
      <c r="M720" s="7" t="s">
        <v>2197</v>
      </c>
      <c r="N720" s="7" t="s">
        <v>1974</v>
      </c>
      <c r="O720" s="7"/>
      <c r="P720" s="13" t="s">
        <v>1993</v>
      </c>
    </row>
    <row r="721" spans="1:16" x14ac:dyDescent="0.25">
      <c r="A721" s="7" t="s">
        <v>2042</v>
      </c>
      <c r="B721" s="7" t="str">
        <f>"1738"</f>
        <v>1738</v>
      </c>
      <c r="C721" s="7">
        <v>2020</v>
      </c>
      <c r="D721" s="7" t="s">
        <v>1867</v>
      </c>
      <c r="E721" s="7" t="s">
        <v>1868</v>
      </c>
      <c r="F721" s="7" t="s">
        <v>4290</v>
      </c>
      <c r="G721" s="7" t="s">
        <v>1871</v>
      </c>
      <c r="H721" s="7">
        <v>1087672685</v>
      </c>
      <c r="I721" s="7">
        <v>0</v>
      </c>
      <c r="J721" s="7" t="s">
        <v>4291</v>
      </c>
      <c r="K721" s="8">
        <v>10780000</v>
      </c>
      <c r="L721" s="7" t="s">
        <v>3050</v>
      </c>
      <c r="M721" s="7" t="s">
        <v>2822</v>
      </c>
      <c r="N721" s="7" t="s">
        <v>1974</v>
      </c>
      <c r="O721" s="7"/>
      <c r="P721" s="13" t="s">
        <v>1993</v>
      </c>
    </row>
    <row r="722" spans="1:16" ht="30" x14ac:dyDescent="0.25">
      <c r="A722" s="7" t="s">
        <v>1897</v>
      </c>
      <c r="B722" s="7" t="str">
        <f>"0167"</f>
        <v>0167</v>
      </c>
      <c r="C722" s="7">
        <v>2020</v>
      </c>
      <c r="D722" s="7" t="s">
        <v>1867</v>
      </c>
      <c r="E722" s="7" t="s">
        <v>1868</v>
      </c>
      <c r="F722" s="7" t="s">
        <v>2014</v>
      </c>
      <c r="G722" s="7" t="s">
        <v>1871</v>
      </c>
      <c r="H722" s="7">
        <v>36933876</v>
      </c>
      <c r="I722" s="7">
        <v>1</v>
      </c>
      <c r="J722" s="7" t="s">
        <v>2015</v>
      </c>
      <c r="K722" s="8">
        <v>27515904</v>
      </c>
      <c r="L722" s="7" t="s">
        <v>1978</v>
      </c>
      <c r="M722" s="7" t="s">
        <v>2016</v>
      </c>
      <c r="N722" s="7" t="s">
        <v>1986</v>
      </c>
      <c r="O722" s="7" t="s">
        <v>2017</v>
      </c>
      <c r="P722" s="13" t="s">
        <v>2018</v>
      </c>
    </row>
    <row r="723" spans="1:16" ht="30" x14ac:dyDescent="0.25">
      <c r="A723" s="7" t="s">
        <v>1897</v>
      </c>
      <c r="B723" s="7" t="str">
        <f>"0769"</f>
        <v>0769</v>
      </c>
      <c r="C723" s="7">
        <v>2020</v>
      </c>
      <c r="D723" s="7" t="s">
        <v>1867</v>
      </c>
      <c r="E723" s="7" t="s">
        <v>1868</v>
      </c>
      <c r="F723" s="7" t="s">
        <v>3049</v>
      </c>
      <c r="G723" s="7" t="s">
        <v>1871</v>
      </c>
      <c r="H723" s="7">
        <v>1086299638</v>
      </c>
      <c r="I723" s="7">
        <v>6</v>
      </c>
      <c r="J723" s="7" t="s">
        <v>2004</v>
      </c>
      <c r="K723" s="8">
        <v>24076416</v>
      </c>
      <c r="L723" s="7" t="s">
        <v>1982</v>
      </c>
      <c r="M723" s="7" t="s">
        <v>2318</v>
      </c>
      <c r="N723" s="7" t="s">
        <v>3050</v>
      </c>
      <c r="O723" s="7"/>
      <c r="P723" s="13" t="s">
        <v>3051</v>
      </c>
    </row>
    <row r="724" spans="1:16" ht="30" x14ac:dyDescent="0.25">
      <c r="A724" s="7" t="s">
        <v>1897</v>
      </c>
      <c r="B724" s="7" t="str">
        <f>"0771"</f>
        <v>0771</v>
      </c>
      <c r="C724" s="7">
        <v>2020</v>
      </c>
      <c r="D724" s="7" t="s">
        <v>1867</v>
      </c>
      <c r="E724" s="7" t="s">
        <v>1868</v>
      </c>
      <c r="F724" s="7" t="s">
        <v>3056</v>
      </c>
      <c r="G724" s="7" t="s">
        <v>1871</v>
      </c>
      <c r="H724" s="7">
        <v>1085662610</v>
      </c>
      <c r="I724" s="7">
        <v>3</v>
      </c>
      <c r="J724" s="7" t="s">
        <v>1999</v>
      </c>
      <c r="K724" s="8">
        <v>24076416</v>
      </c>
      <c r="L724" s="7" t="s">
        <v>1982</v>
      </c>
      <c r="M724" s="7" t="s">
        <v>2284</v>
      </c>
      <c r="N724" s="7" t="s">
        <v>3050</v>
      </c>
      <c r="O724" s="7" t="s">
        <v>3057</v>
      </c>
      <c r="P724" s="13" t="s">
        <v>3058</v>
      </c>
    </row>
    <row r="725" spans="1:16" ht="30" x14ac:dyDescent="0.25">
      <c r="A725" s="7" t="s">
        <v>1897</v>
      </c>
      <c r="B725" s="7" t="str">
        <f>"0772"</f>
        <v>0772</v>
      </c>
      <c r="C725" s="7">
        <v>2020</v>
      </c>
      <c r="D725" s="7" t="s">
        <v>1867</v>
      </c>
      <c r="E725" s="7" t="s">
        <v>1868</v>
      </c>
      <c r="F725" s="7" t="s">
        <v>3059</v>
      </c>
      <c r="G725" s="7" t="s">
        <v>1871</v>
      </c>
      <c r="H725" s="7">
        <v>1085313877</v>
      </c>
      <c r="I725" s="7">
        <v>6</v>
      </c>
      <c r="J725" s="7" t="s">
        <v>2005</v>
      </c>
      <c r="K725" s="8">
        <v>24076416</v>
      </c>
      <c r="L725" s="7" t="s">
        <v>1982</v>
      </c>
      <c r="M725" s="7" t="s">
        <v>2284</v>
      </c>
      <c r="N725" s="7" t="s">
        <v>3050</v>
      </c>
      <c r="O725" s="7"/>
      <c r="P725" s="13" t="s">
        <v>3060</v>
      </c>
    </row>
    <row r="726" spans="1:16" ht="30" x14ac:dyDescent="0.25">
      <c r="A726" s="7" t="s">
        <v>1897</v>
      </c>
      <c r="B726" s="7" t="str">
        <f>"0779"</f>
        <v>0779</v>
      </c>
      <c r="C726" s="7">
        <v>2020</v>
      </c>
      <c r="D726" s="7" t="s">
        <v>1867</v>
      </c>
      <c r="E726" s="7" t="s">
        <v>1868</v>
      </c>
      <c r="F726" s="7" t="s">
        <v>3067</v>
      </c>
      <c r="G726" s="7" t="s">
        <v>1871</v>
      </c>
      <c r="H726" s="7">
        <v>98383232</v>
      </c>
      <c r="I726" s="7">
        <v>1</v>
      </c>
      <c r="J726" s="7" t="s">
        <v>2001</v>
      </c>
      <c r="K726" s="8">
        <v>24076416</v>
      </c>
      <c r="L726" s="7" t="s">
        <v>1982</v>
      </c>
      <c r="M726" s="7" t="s">
        <v>2417</v>
      </c>
      <c r="N726" s="7" t="s">
        <v>3050</v>
      </c>
      <c r="O726" s="7" t="s">
        <v>3068</v>
      </c>
      <c r="P726" s="13" t="s">
        <v>3069</v>
      </c>
    </row>
    <row r="727" spans="1:16" ht="30" x14ac:dyDescent="0.25">
      <c r="A727" s="7" t="s">
        <v>1897</v>
      </c>
      <c r="B727" s="7" t="str">
        <f>"0770"</f>
        <v>0770</v>
      </c>
      <c r="C727" s="7">
        <v>2020</v>
      </c>
      <c r="D727" s="7" t="s">
        <v>1867</v>
      </c>
      <c r="E727" s="7" t="s">
        <v>1868</v>
      </c>
      <c r="F727" s="7" t="s">
        <v>3052</v>
      </c>
      <c r="G727" s="7" t="s">
        <v>1871</v>
      </c>
      <c r="H727" s="7">
        <v>87063683</v>
      </c>
      <c r="I727" s="7">
        <v>7</v>
      </c>
      <c r="J727" s="7" t="s">
        <v>2003</v>
      </c>
      <c r="K727" s="8">
        <v>24076416</v>
      </c>
      <c r="L727" s="7" t="s">
        <v>1982</v>
      </c>
      <c r="M727" s="7" t="s">
        <v>2350</v>
      </c>
      <c r="N727" s="7" t="s">
        <v>3053</v>
      </c>
      <c r="O727" s="7" t="s">
        <v>3054</v>
      </c>
      <c r="P727" s="13" t="s">
        <v>3055</v>
      </c>
    </row>
    <row r="728" spans="1:16" ht="30" x14ac:dyDescent="0.25">
      <c r="A728" s="7" t="s">
        <v>1897</v>
      </c>
      <c r="B728" s="7" t="str">
        <f>"0833"</f>
        <v>0833</v>
      </c>
      <c r="C728" s="7">
        <v>2020</v>
      </c>
      <c r="D728" s="7" t="s">
        <v>1867</v>
      </c>
      <c r="E728" s="7" t="s">
        <v>1875</v>
      </c>
      <c r="F728" s="7" t="s">
        <v>3161</v>
      </c>
      <c r="G728" s="7" t="s">
        <v>1871</v>
      </c>
      <c r="H728" s="7">
        <v>1131084397</v>
      </c>
      <c r="I728" s="7">
        <v>5</v>
      </c>
      <c r="J728" s="7" t="s">
        <v>3162</v>
      </c>
      <c r="K728" s="8">
        <v>18550000</v>
      </c>
      <c r="L728" s="7" t="s">
        <v>1908</v>
      </c>
      <c r="M728" s="7" t="s">
        <v>2455</v>
      </c>
      <c r="N728" s="7" t="s">
        <v>3163</v>
      </c>
      <c r="O728" s="7"/>
      <c r="P728" s="13" t="s">
        <v>3164</v>
      </c>
    </row>
    <row r="729" spans="1:16" ht="30" x14ac:dyDescent="0.25">
      <c r="A729" s="7" t="s">
        <v>1897</v>
      </c>
      <c r="B729" s="7" t="str">
        <f>"0188"</f>
        <v>0188</v>
      </c>
      <c r="C729" s="7">
        <v>2020</v>
      </c>
      <c r="D729" s="7" t="s">
        <v>1867</v>
      </c>
      <c r="E729" s="7" t="s">
        <v>1868</v>
      </c>
      <c r="F729" s="7" t="s">
        <v>2059</v>
      </c>
      <c r="G729" s="7" t="s">
        <v>1871</v>
      </c>
      <c r="H729" s="7">
        <v>1018430008</v>
      </c>
      <c r="I729" s="7">
        <v>1</v>
      </c>
      <c r="J729" s="7" t="s">
        <v>2061</v>
      </c>
      <c r="K729" s="8">
        <v>27515904</v>
      </c>
      <c r="L729" s="7" t="s">
        <v>2060</v>
      </c>
      <c r="M729" s="7" t="s">
        <v>2062</v>
      </c>
      <c r="N729" s="7" t="s">
        <v>2054</v>
      </c>
      <c r="O729" s="7"/>
      <c r="P729" s="13" t="s">
        <v>2063</v>
      </c>
    </row>
    <row r="730" spans="1:16" ht="30" x14ac:dyDescent="0.25">
      <c r="A730" s="7" t="s">
        <v>1897</v>
      </c>
      <c r="B730" s="7" t="str">
        <f>"0228"</f>
        <v>0228</v>
      </c>
      <c r="C730" s="7">
        <v>2020</v>
      </c>
      <c r="D730" s="7" t="s">
        <v>1867</v>
      </c>
      <c r="E730" s="7" t="s">
        <v>1868</v>
      </c>
      <c r="F730" s="7" t="s">
        <v>2144</v>
      </c>
      <c r="G730" s="7" t="s">
        <v>1871</v>
      </c>
      <c r="H730" s="7">
        <v>36951627</v>
      </c>
      <c r="I730" s="7">
        <v>9</v>
      </c>
      <c r="J730" s="7" t="s">
        <v>2145</v>
      </c>
      <c r="K730" s="8">
        <v>27515904</v>
      </c>
      <c r="L730" s="7" t="s">
        <v>1992</v>
      </c>
      <c r="M730" s="7" t="s">
        <v>1914</v>
      </c>
      <c r="N730" s="7" t="s">
        <v>2117</v>
      </c>
      <c r="O730" s="7"/>
      <c r="P730" s="13" t="s">
        <v>2146</v>
      </c>
    </row>
    <row r="731" spans="1:16" ht="30" x14ac:dyDescent="0.25">
      <c r="A731" s="7" t="s">
        <v>1897</v>
      </c>
      <c r="B731" s="7" t="str">
        <f>"0235"</f>
        <v>0235</v>
      </c>
      <c r="C731" s="7">
        <v>2020</v>
      </c>
      <c r="D731" s="7" t="s">
        <v>1867</v>
      </c>
      <c r="E731" s="7" t="s">
        <v>1868</v>
      </c>
      <c r="F731" s="7" t="s">
        <v>2147</v>
      </c>
      <c r="G731" s="7" t="s">
        <v>1871</v>
      </c>
      <c r="H731" s="7">
        <v>1018438316</v>
      </c>
      <c r="I731" s="7">
        <v>1</v>
      </c>
      <c r="J731" s="7" t="s">
        <v>2148</v>
      </c>
      <c r="K731" s="8">
        <v>27515904</v>
      </c>
      <c r="L731" s="7" t="s">
        <v>1992</v>
      </c>
      <c r="M731" s="7" t="s">
        <v>1973</v>
      </c>
      <c r="N731" s="7" t="s">
        <v>2117</v>
      </c>
      <c r="O731" s="7"/>
      <c r="P731" s="13" t="s">
        <v>2149</v>
      </c>
    </row>
    <row r="732" spans="1:16" ht="30" x14ac:dyDescent="0.25">
      <c r="A732" s="7" t="s">
        <v>1897</v>
      </c>
      <c r="B732" s="7" t="str">
        <f>"0755"</f>
        <v>0755</v>
      </c>
      <c r="C732" s="7">
        <v>2020</v>
      </c>
      <c r="D732" s="7" t="s">
        <v>1867</v>
      </c>
      <c r="E732" s="7" t="s">
        <v>1989</v>
      </c>
      <c r="F732" s="7" t="s">
        <v>3013</v>
      </c>
      <c r="G732" s="7" t="s">
        <v>1891</v>
      </c>
      <c r="H732" s="7">
        <v>1084223935</v>
      </c>
      <c r="I732" s="7">
        <v>5</v>
      </c>
      <c r="J732" s="7" t="s">
        <v>3014</v>
      </c>
      <c r="K732" s="8">
        <v>15900000</v>
      </c>
      <c r="L732" s="7" t="s">
        <v>1980</v>
      </c>
      <c r="M732" s="7" t="s">
        <v>2239</v>
      </c>
      <c r="N732" s="7" t="s">
        <v>2167</v>
      </c>
      <c r="O732" s="7"/>
      <c r="P732" s="13" t="s">
        <v>3015</v>
      </c>
    </row>
    <row r="733" spans="1:16" x14ac:dyDescent="0.25">
      <c r="A733" s="7" t="s">
        <v>1897</v>
      </c>
      <c r="B733" s="7" t="str">
        <f>"1091"</f>
        <v>1091</v>
      </c>
      <c r="C733" s="7">
        <v>2020</v>
      </c>
      <c r="D733" s="7" t="s">
        <v>1867</v>
      </c>
      <c r="E733" s="7" t="s">
        <v>1875</v>
      </c>
      <c r="F733" s="7" t="s">
        <v>3360</v>
      </c>
      <c r="G733" s="7" t="s">
        <v>1871</v>
      </c>
      <c r="H733" s="7">
        <v>87061564</v>
      </c>
      <c r="I733" s="7">
        <v>1</v>
      </c>
      <c r="J733" s="7" t="s">
        <v>3558</v>
      </c>
      <c r="K733" s="8">
        <v>22400000</v>
      </c>
      <c r="L733" s="7" t="s">
        <v>2239</v>
      </c>
      <c r="M733" s="7" t="s">
        <v>3110</v>
      </c>
      <c r="N733" s="7" t="s">
        <v>2167</v>
      </c>
      <c r="O733" s="7"/>
      <c r="P733" s="13" t="s">
        <v>1993</v>
      </c>
    </row>
    <row r="734" spans="1:16" ht="45" x14ac:dyDescent="0.25">
      <c r="A734" s="7" t="s">
        <v>1897</v>
      </c>
      <c r="B734" s="7" t="str">
        <f>"1360"</f>
        <v>1360</v>
      </c>
      <c r="C734" s="7">
        <v>2020</v>
      </c>
      <c r="D734" s="7" t="s">
        <v>1867</v>
      </c>
      <c r="E734" s="7" t="s">
        <v>1868</v>
      </c>
      <c r="F734" s="7" t="s">
        <v>3798</v>
      </c>
      <c r="G734" s="7" t="s">
        <v>1871</v>
      </c>
      <c r="H734" s="7">
        <v>37081088</v>
      </c>
      <c r="I734" s="7">
        <v>9</v>
      </c>
      <c r="J734" s="7" t="s">
        <v>3799</v>
      </c>
      <c r="K734" s="8">
        <v>13757952</v>
      </c>
      <c r="L734" s="7" t="s">
        <v>2157</v>
      </c>
      <c r="M734" s="7" t="s">
        <v>3766</v>
      </c>
      <c r="N734" s="7" t="s">
        <v>3358</v>
      </c>
      <c r="O734" s="7"/>
      <c r="P734" s="13" t="s">
        <v>3800</v>
      </c>
    </row>
    <row r="735" spans="1:16" ht="45" x14ac:dyDescent="0.25">
      <c r="A735" s="7" t="s">
        <v>1897</v>
      </c>
      <c r="B735" s="7" t="str">
        <f>"1346"</f>
        <v>1346</v>
      </c>
      <c r="C735" s="7">
        <v>2020</v>
      </c>
      <c r="D735" s="7" t="s">
        <v>1867</v>
      </c>
      <c r="E735" s="7" t="s">
        <v>1875</v>
      </c>
      <c r="F735" s="7" t="s">
        <v>3775</v>
      </c>
      <c r="G735" s="7" t="s">
        <v>1871</v>
      </c>
      <c r="H735" s="7">
        <v>12747728</v>
      </c>
      <c r="I735" s="7">
        <v>3</v>
      </c>
      <c r="J735" s="7" t="s">
        <v>3776</v>
      </c>
      <c r="K735" s="8">
        <v>13250000</v>
      </c>
      <c r="L735" s="7" t="s">
        <v>3699</v>
      </c>
      <c r="M735" s="7" t="s">
        <v>2373</v>
      </c>
      <c r="N735" s="7" t="s">
        <v>3176</v>
      </c>
      <c r="O735" s="7"/>
      <c r="P735" s="13" t="s">
        <v>3777</v>
      </c>
    </row>
    <row r="736" spans="1:16" ht="45" x14ac:dyDescent="0.25">
      <c r="A736" s="7" t="s">
        <v>1897</v>
      </c>
      <c r="B736" s="7" t="str">
        <f>"1352"</f>
        <v>1352</v>
      </c>
      <c r="C736" s="7">
        <v>2020</v>
      </c>
      <c r="D736" s="7" t="s">
        <v>1867</v>
      </c>
      <c r="E736" s="7" t="s">
        <v>1875</v>
      </c>
      <c r="F736" s="7" t="s">
        <v>3787</v>
      </c>
      <c r="G736" s="7" t="s">
        <v>1871</v>
      </c>
      <c r="H736" s="7">
        <v>1087959828</v>
      </c>
      <c r="I736" s="7">
        <v>5</v>
      </c>
      <c r="J736" s="7" t="s">
        <v>2543</v>
      </c>
      <c r="K736" s="8">
        <v>13250000</v>
      </c>
      <c r="L736" s="7" t="s">
        <v>3765</v>
      </c>
      <c r="M736" s="7" t="s">
        <v>3263</v>
      </c>
      <c r="N736" s="7" t="s">
        <v>3313</v>
      </c>
      <c r="O736" s="7"/>
      <c r="P736" s="13" t="s">
        <v>3788</v>
      </c>
    </row>
    <row r="737" spans="1:16" ht="45" x14ac:dyDescent="0.25">
      <c r="A737" s="7" t="s">
        <v>1897</v>
      </c>
      <c r="B737" s="7" t="str">
        <f>"1433"</f>
        <v>1433</v>
      </c>
      <c r="C737" s="7">
        <v>2020</v>
      </c>
      <c r="D737" s="7" t="s">
        <v>1867</v>
      </c>
      <c r="E737" s="7" t="s">
        <v>1875</v>
      </c>
      <c r="F737" s="7" t="s">
        <v>3917</v>
      </c>
      <c r="G737" s="7" t="s">
        <v>1871</v>
      </c>
      <c r="H737" s="7">
        <v>59835599</v>
      </c>
      <c r="I737" s="7">
        <v>8</v>
      </c>
      <c r="J737" s="7" t="s">
        <v>2007</v>
      </c>
      <c r="K737" s="8">
        <v>4240000</v>
      </c>
      <c r="L737" s="7" t="s">
        <v>2041</v>
      </c>
      <c r="M737" s="7" t="s">
        <v>3894</v>
      </c>
      <c r="N737" s="7" t="s">
        <v>2994</v>
      </c>
      <c r="O737" s="7"/>
      <c r="P737" s="13" t="s">
        <v>3918</v>
      </c>
    </row>
    <row r="738" spans="1:16" ht="45" x14ac:dyDescent="0.25">
      <c r="A738" s="7" t="s">
        <v>1897</v>
      </c>
      <c r="B738" s="7" t="str">
        <f>"1462"</f>
        <v>1462</v>
      </c>
      <c r="C738" s="7">
        <v>2020</v>
      </c>
      <c r="D738" s="7" t="s">
        <v>1867</v>
      </c>
      <c r="E738" s="7" t="s">
        <v>1875</v>
      </c>
      <c r="F738" s="7" t="s">
        <v>3958</v>
      </c>
      <c r="G738" s="7" t="s">
        <v>1871</v>
      </c>
      <c r="H738" s="7">
        <v>98379876</v>
      </c>
      <c r="I738" s="7">
        <v>9</v>
      </c>
      <c r="J738" s="7" t="s">
        <v>1981</v>
      </c>
      <c r="K738" s="8">
        <v>4664000</v>
      </c>
      <c r="L738" s="7" t="s">
        <v>2064</v>
      </c>
      <c r="M738" s="7" t="s">
        <v>1899</v>
      </c>
      <c r="N738" s="7" t="s">
        <v>3602</v>
      </c>
      <c r="O738" s="7"/>
      <c r="P738" s="13" t="s">
        <v>3959</v>
      </c>
    </row>
    <row r="739" spans="1:16" ht="45" x14ac:dyDescent="0.25">
      <c r="A739" s="7" t="s">
        <v>1897</v>
      </c>
      <c r="B739" s="7" t="str">
        <f>"1463"</f>
        <v>1463</v>
      </c>
      <c r="C739" s="7">
        <v>2020</v>
      </c>
      <c r="D739" s="7" t="s">
        <v>1867</v>
      </c>
      <c r="E739" s="7" t="s">
        <v>1875</v>
      </c>
      <c r="F739" s="7" t="s">
        <v>3960</v>
      </c>
      <c r="G739" s="7" t="s">
        <v>1871</v>
      </c>
      <c r="H739" s="7">
        <v>37080258</v>
      </c>
      <c r="I739" s="7">
        <v>1</v>
      </c>
      <c r="J739" s="7" t="s">
        <v>3043</v>
      </c>
      <c r="K739" s="8">
        <v>4240000</v>
      </c>
      <c r="L739" s="7" t="s">
        <v>2064</v>
      </c>
      <c r="M739" s="7" t="s">
        <v>3869</v>
      </c>
      <c r="N739" s="7" t="s">
        <v>3602</v>
      </c>
      <c r="O739" s="7"/>
      <c r="P739" s="13" t="s">
        <v>3961</v>
      </c>
    </row>
    <row r="740" spans="1:16" ht="45" x14ac:dyDescent="0.25">
      <c r="A740" s="7" t="s">
        <v>1897</v>
      </c>
      <c r="B740" s="7" t="str">
        <f>"1464"</f>
        <v>1464</v>
      </c>
      <c r="C740" s="7">
        <v>2020</v>
      </c>
      <c r="D740" s="7" t="s">
        <v>1867</v>
      </c>
      <c r="E740" s="7" t="s">
        <v>1875</v>
      </c>
      <c r="F740" s="7" t="s">
        <v>3962</v>
      </c>
      <c r="G740" s="7" t="s">
        <v>1871</v>
      </c>
      <c r="H740" s="7">
        <v>30735396</v>
      </c>
      <c r="I740" s="7">
        <v>5</v>
      </c>
      <c r="J740" s="7" t="s">
        <v>2013</v>
      </c>
      <c r="K740" s="8">
        <v>4240000</v>
      </c>
      <c r="L740" s="7" t="s">
        <v>2064</v>
      </c>
      <c r="M740" s="7" t="s">
        <v>3963</v>
      </c>
      <c r="N740" s="7" t="s">
        <v>3602</v>
      </c>
      <c r="O740" s="7"/>
      <c r="P740" s="13" t="s">
        <v>3964</v>
      </c>
    </row>
    <row r="741" spans="1:16" ht="45" x14ac:dyDescent="0.25">
      <c r="A741" s="7" t="s">
        <v>1897</v>
      </c>
      <c r="B741" s="7" t="str">
        <f>"1465"</f>
        <v>1465</v>
      </c>
      <c r="C741" s="7">
        <v>2020</v>
      </c>
      <c r="D741" s="7" t="s">
        <v>1867</v>
      </c>
      <c r="E741" s="7" t="s">
        <v>1875</v>
      </c>
      <c r="F741" s="7" t="s">
        <v>3962</v>
      </c>
      <c r="G741" s="7" t="s">
        <v>1871</v>
      </c>
      <c r="H741" s="7">
        <v>59833440</v>
      </c>
      <c r="I741" s="7">
        <v>7</v>
      </c>
      <c r="J741" s="7" t="s">
        <v>2010</v>
      </c>
      <c r="K741" s="8">
        <v>4240000</v>
      </c>
      <c r="L741" s="7" t="s">
        <v>2064</v>
      </c>
      <c r="M741" s="7" t="s">
        <v>3963</v>
      </c>
      <c r="N741" s="7" t="s">
        <v>3602</v>
      </c>
      <c r="O741" s="7"/>
      <c r="P741" s="13" t="s">
        <v>3965</v>
      </c>
    </row>
    <row r="742" spans="1:16" ht="45" x14ac:dyDescent="0.25">
      <c r="A742" s="7" t="s">
        <v>1897</v>
      </c>
      <c r="B742" s="7" t="str">
        <f>"1466"</f>
        <v>1466</v>
      </c>
      <c r="C742" s="7">
        <v>2020</v>
      </c>
      <c r="D742" s="7" t="s">
        <v>1867</v>
      </c>
      <c r="E742" s="7" t="s">
        <v>1875</v>
      </c>
      <c r="F742" s="7" t="s">
        <v>3960</v>
      </c>
      <c r="G742" s="7" t="s">
        <v>1871</v>
      </c>
      <c r="H742" s="7">
        <v>27231944</v>
      </c>
      <c r="I742" s="7">
        <v>7</v>
      </c>
      <c r="J742" s="7" t="s">
        <v>2987</v>
      </c>
      <c r="K742" s="8">
        <v>4240000</v>
      </c>
      <c r="L742" s="7" t="s">
        <v>2064</v>
      </c>
      <c r="M742" s="7" t="s">
        <v>1899</v>
      </c>
      <c r="N742" s="7" t="s">
        <v>3602</v>
      </c>
      <c r="O742" s="7"/>
      <c r="P742" s="13" t="s">
        <v>3966</v>
      </c>
    </row>
    <row r="743" spans="1:16" ht="45" x14ac:dyDescent="0.25">
      <c r="A743" s="7" t="s">
        <v>1897</v>
      </c>
      <c r="B743" s="7" t="str">
        <f>"1467"</f>
        <v>1467</v>
      </c>
      <c r="C743" s="7">
        <v>2020</v>
      </c>
      <c r="D743" s="7" t="s">
        <v>1867</v>
      </c>
      <c r="E743" s="7" t="s">
        <v>1875</v>
      </c>
      <c r="F743" s="7" t="s">
        <v>3967</v>
      </c>
      <c r="G743" s="7" t="s">
        <v>1871</v>
      </c>
      <c r="H743" s="7">
        <v>1085283350</v>
      </c>
      <c r="I743" s="7">
        <v>7</v>
      </c>
      <c r="J743" s="7" t="s">
        <v>2846</v>
      </c>
      <c r="K743" s="8">
        <v>4664000</v>
      </c>
      <c r="L743" s="7" t="s">
        <v>2064</v>
      </c>
      <c r="M743" s="7" t="s">
        <v>1899</v>
      </c>
      <c r="N743" s="7" t="s">
        <v>3602</v>
      </c>
      <c r="O743" s="7"/>
      <c r="P743" s="13" t="s">
        <v>3968</v>
      </c>
    </row>
    <row r="744" spans="1:16" ht="45" x14ac:dyDescent="0.25">
      <c r="A744" s="7" t="s">
        <v>1897</v>
      </c>
      <c r="B744" s="7" t="str">
        <f>"1468"</f>
        <v>1468</v>
      </c>
      <c r="C744" s="7">
        <v>2020</v>
      </c>
      <c r="D744" s="7" t="s">
        <v>1867</v>
      </c>
      <c r="E744" s="7" t="s">
        <v>1875</v>
      </c>
      <c r="F744" s="7" t="s">
        <v>3969</v>
      </c>
      <c r="G744" s="7" t="s">
        <v>1871</v>
      </c>
      <c r="H744" s="7">
        <v>12963811</v>
      </c>
      <c r="I744" s="7">
        <v>2</v>
      </c>
      <c r="J744" s="7" t="s">
        <v>2845</v>
      </c>
      <c r="K744" s="8">
        <v>6400000</v>
      </c>
      <c r="L744" s="7" t="s">
        <v>2064</v>
      </c>
      <c r="M744" s="7" t="s">
        <v>1899</v>
      </c>
      <c r="N744" s="7" t="s">
        <v>3602</v>
      </c>
      <c r="O744" s="7"/>
      <c r="P744" s="13" t="s">
        <v>3970</v>
      </c>
    </row>
    <row r="745" spans="1:16" ht="45" x14ac:dyDescent="0.25">
      <c r="A745" s="7" t="s">
        <v>1897</v>
      </c>
      <c r="B745" s="7" t="str">
        <f>"1474"</f>
        <v>1474</v>
      </c>
      <c r="C745" s="7">
        <v>2020</v>
      </c>
      <c r="D745" s="7" t="s">
        <v>1867</v>
      </c>
      <c r="E745" s="7" t="s">
        <v>1875</v>
      </c>
      <c r="F745" s="7" t="s">
        <v>3969</v>
      </c>
      <c r="G745" s="7" t="s">
        <v>1871</v>
      </c>
      <c r="H745" s="7">
        <v>87066283</v>
      </c>
      <c r="I745" s="7">
        <v>8</v>
      </c>
      <c r="J745" s="7" t="s">
        <v>3320</v>
      </c>
      <c r="K745" s="8">
        <v>4664000</v>
      </c>
      <c r="L745" s="7" t="s">
        <v>3822</v>
      </c>
      <c r="M745" s="7" t="s">
        <v>1899</v>
      </c>
      <c r="N745" s="7" t="s">
        <v>3978</v>
      </c>
      <c r="O745" s="7"/>
      <c r="P745" s="13" t="s">
        <v>3980</v>
      </c>
    </row>
    <row r="746" spans="1:16" ht="45" x14ac:dyDescent="0.25">
      <c r="A746" s="7" t="s">
        <v>1897</v>
      </c>
      <c r="B746" s="7" t="str">
        <f>"1479"</f>
        <v>1479</v>
      </c>
      <c r="C746" s="7">
        <v>2020</v>
      </c>
      <c r="D746" s="7" t="s">
        <v>1867</v>
      </c>
      <c r="E746" s="7" t="s">
        <v>1875</v>
      </c>
      <c r="F746" s="7" t="s">
        <v>3988</v>
      </c>
      <c r="G746" s="7" t="s">
        <v>1871</v>
      </c>
      <c r="H746" s="7">
        <v>1085912524</v>
      </c>
      <c r="I746" s="7">
        <v>1</v>
      </c>
      <c r="J746" s="7" t="s">
        <v>2991</v>
      </c>
      <c r="K746" s="8">
        <v>10600000</v>
      </c>
      <c r="L746" s="7" t="s">
        <v>3985</v>
      </c>
      <c r="M746" s="7" t="s">
        <v>1899</v>
      </c>
      <c r="N746" s="7" t="s">
        <v>3264</v>
      </c>
      <c r="O746" s="7"/>
      <c r="P746" s="13" t="s">
        <v>3989</v>
      </c>
    </row>
    <row r="747" spans="1:16" ht="45" x14ac:dyDescent="0.25">
      <c r="A747" s="7" t="s">
        <v>1897</v>
      </c>
      <c r="B747" s="7" t="str">
        <f>"1480"</f>
        <v>1480</v>
      </c>
      <c r="C747" s="7">
        <v>2020</v>
      </c>
      <c r="D747" s="7" t="s">
        <v>1867</v>
      </c>
      <c r="E747" s="7" t="s">
        <v>1875</v>
      </c>
      <c r="F747" s="7" t="s">
        <v>3990</v>
      </c>
      <c r="G747" s="7" t="s">
        <v>1871</v>
      </c>
      <c r="H747" s="7">
        <v>98380826</v>
      </c>
      <c r="I747" s="7">
        <v>2</v>
      </c>
      <c r="J747" s="7" t="s">
        <v>2006</v>
      </c>
      <c r="K747" s="8">
        <v>4664000</v>
      </c>
      <c r="L747" s="7" t="s">
        <v>3985</v>
      </c>
      <c r="M747" s="7" t="s">
        <v>1899</v>
      </c>
      <c r="N747" s="7" t="s">
        <v>3264</v>
      </c>
      <c r="O747" s="7"/>
      <c r="P747" s="13" t="s">
        <v>3991</v>
      </c>
    </row>
    <row r="748" spans="1:16" ht="45" x14ac:dyDescent="0.25">
      <c r="A748" s="7" t="s">
        <v>1897</v>
      </c>
      <c r="B748" s="7" t="str">
        <f>"1488"</f>
        <v>1488</v>
      </c>
      <c r="C748" s="7">
        <v>2020</v>
      </c>
      <c r="D748" s="7" t="s">
        <v>1867</v>
      </c>
      <c r="E748" s="7" t="s">
        <v>1875</v>
      </c>
      <c r="F748" s="7" t="s">
        <v>4002</v>
      </c>
      <c r="G748" s="7" t="s">
        <v>1871</v>
      </c>
      <c r="H748" s="7">
        <v>36952188</v>
      </c>
      <c r="I748" s="7">
        <v>1</v>
      </c>
      <c r="J748" s="7" t="s">
        <v>3321</v>
      </c>
      <c r="K748" s="8">
        <v>4240000</v>
      </c>
      <c r="L748" s="7" t="s">
        <v>3879</v>
      </c>
      <c r="M748" s="7" t="s">
        <v>3832</v>
      </c>
      <c r="N748" s="7" t="s">
        <v>3791</v>
      </c>
      <c r="O748" s="7"/>
      <c r="P748" s="13" t="s">
        <v>4003</v>
      </c>
    </row>
    <row r="749" spans="1:16" ht="45" x14ac:dyDescent="0.25">
      <c r="A749" s="7" t="s">
        <v>1897</v>
      </c>
      <c r="B749" s="7" t="str">
        <f>"1487"</f>
        <v>1487</v>
      </c>
      <c r="C749" s="7">
        <v>2020</v>
      </c>
      <c r="D749" s="7" t="s">
        <v>1867</v>
      </c>
      <c r="E749" s="7" t="s">
        <v>1875</v>
      </c>
      <c r="F749" s="7" t="s">
        <v>4000</v>
      </c>
      <c r="G749" s="7" t="s">
        <v>1871</v>
      </c>
      <c r="H749" s="7">
        <v>36754130</v>
      </c>
      <c r="I749" s="7">
        <v>6</v>
      </c>
      <c r="J749" s="7" t="s">
        <v>2012</v>
      </c>
      <c r="K749" s="8">
        <v>4240000</v>
      </c>
      <c r="L749" s="7" t="s">
        <v>3879</v>
      </c>
      <c r="M749" s="7" t="s">
        <v>3894</v>
      </c>
      <c r="N749" s="7" t="s">
        <v>3999</v>
      </c>
      <c r="O749" s="7"/>
      <c r="P749" s="13" t="s">
        <v>4001</v>
      </c>
    </row>
    <row r="750" spans="1:16" ht="45" x14ac:dyDescent="0.25">
      <c r="A750" s="7" t="s">
        <v>1897</v>
      </c>
      <c r="B750" s="7" t="str">
        <f>"1568"</f>
        <v>1568</v>
      </c>
      <c r="C750" s="7">
        <v>2020</v>
      </c>
      <c r="D750" s="7" t="s">
        <v>1867</v>
      </c>
      <c r="E750" s="7" t="s">
        <v>1868</v>
      </c>
      <c r="F750" s="7" t="s">
        <v>4146</v>
      </c>
      <c r="G750" s="7" t="s">
        <v>1871</v>
      </c>
      <c r="H750" s="7">
        <v>1084223152</v>
      </c>
      <c r="I750" s="7">
        <v>5</v>
      </c>
      <c r="J750" s="7" t="s">
        <v>2986</v>
      </c>
      <c r="K750" s="8">
        <v>13757952</v>
      </c>
      <c r="L750" s="7" t="s">
        <v>3953</v>
      </c>
      <c r="M750" s="7" t="s">
        <v>4147</v>
      </c>
      <c r="N750" s="7" t="s">
        <v>3837</v>
      </c>
      <c r="O750" s="7"/>
      <c r="P750" s="13" t="s">
        <v>4148</v>
      </c>
    </row>
    <row r="751" spans="1:16" ht="45" x14ac:dyDescent="0.25">
      <c r="A751" s="7" t="s">
        <v>1897</v>
      </c>
      <c r="B751" s="7" t="str">
        <f>"1379"</f>
        <v>1379</v>
      </c>
      <c r="C751" s="7">
        <v>2020</v>
      </c>
      <c r="D751" s="7" t="s">
        <v>1867</v>
      </c>
      <c r="E751" s="7" t="s">
        <v>1868</v>
      </c>
      <c r="F751" s="7" t="s">
        <v>3842</v>
      </c>
      <c r="G751" s="7" t="s">
        <v>1871</v>
      </c>
      <c r="H751" s="7">
        <v>27145358</v>
      </c>
      <c r="I751" s="7">
        <v>3</v>
      </c>
      <c r="J751" s="7" t="s">
        <v>3843</v>
      </c>
      <c r="K751" s="8">
        <v>20636928</v>
      </c>
      <c r="L751" s="7" t="s">
        <v>3828</v>
      </c>
      <c r="M751" s="7" t="s">
        <v>3766</v>
      </c>
      <c r="N751" s="7" t="s">
        <v>3844</v>
      </c>
      <c r="O751" s="7"/>
      <c r="P751" s="13" t="s">
        <v>3845</v>
      </c>
    </row>
    <row r="752" spans="1:16" x14ac:dyDescent="0.25">
      <c r="A752" s="7" t="s">
        <v>1897</v>
      </c>
      <c r="B752" s="7" t="str">
        <f>"1811"</f>
        <v>1811</v>
      </c>
      <c r="C752" s="7">
        <v>2020</v>
      </c>
      <c r="D752" s="7" t="s">
        <v>1867</v>
      </c>
      <c r="E752" s="7" t="s">
        <v>1868</v>
      </c>
      <c r="F752" s="7" t="s">
        <v>4310</v>
      </c>
      <c r="G752" s="7" t="s">
        <v>1871</v>
      </c>
      <c r="H752" s="7">
        <v>87069155</v>
      </c>
      <c r="I752" s="7">
        <v>7</v>
      </c>
      <c r="J752" s="7" t="s">
        <v>4311</v>
      </c>
      <c r="K752" s="8">
        <v>10318464</v>
      </c>
      <c r="L752" s="7" t="s">
        <v>3272</v>
      </c>
      <c r="M752" s="7" t="s">
        <v>3358</v>
      </c>
      <c r="N752" s="7" t="s">
        <v>4221</v>
      </c>
      <c r="O752" s="7"/>
      <c r="P752" s="13" t="s">
        <v>1993</v>
      </c>
    </row>
    <row r="753" spans="1:16" x14ac:dyDescent="0.25">
      <c r="A753" s="7" t="s">
        <v>1897</v>
      </c>
      <c r="B753" s="7" t="str">
        <f>"1595"</f>
        <v>1595</v>
      </c>
      <c r="C753" s="7">
        <v>2020</v>
      </c>
      <c r="D753" s="7" t="s">
        <v>1867</v>
      </c>
      <c r="E753" s="7" t="s">
        <v>1868</v>
      </c>
      <c r="F753" s="7" t="s">
        <v>4205</v>
      </c>
      <c r="G753" s="7" t="s">
        <v>1871</v>
      </c>
      <c r="H753" s="7">
        <v>98386834</v>
      </c>
      <c r="I753" s="7"/>
      <c r="J753" s="7" t="s">
        <v>4206</v>
      </c>
      <c r="K753" s="8">
        <v>15706995</v>
      </c>
      <c r="L753" s="7" t="s">
        <v>3816</v>
      </c>
      <c r="M753" s="7" t="s">
        <v>3200</v>
      </c>
      <c r="N753" s="7" t="s">
        <v>1974</v>
      </c>
      <c r="O753" s="7"/>
      <c r="P753" s="13" t="s">
        <v>1993</v>
      </c>
    </row>
    <row r="754" spans="1:16" x14ac:dyDescent="0.25">
      <c r="A754" s="7" t="s">
        <v>1897</v>
      </c>
      <c r="B754" s="7" t="str">
        <f>"1647"</f>
        <v>1647</v>
      </c>
      <c r="C754" s="7">
        <v>2020</v>
      </c>
      <c r="D754" s="7" t="s">
        <v>1867</v>
      </c>
      <c r="E754" s="7" t="s">
        <v>1875</v>
      </c>
      <c r="F754" s="7" t="s">
        <v>4247</v>
      </c>
      <c r="G754" s="7" t="s">
        <v>1871</v>
      </c>
      <c r="H754" s="7">
        <v>1089487522</v>
      </c>
      <c r="I754" s="7">
        <v>8</v>
      </c>
      <c r="J754" s="7" t="s">
        <v>4248</v>
      </c>
      <c r="K754" s="8">
        <v>4320000</v>
      </c>
      <c r="L754" s="7" t="s">
        <v>1915</v>
      </c>
      <c r="M754" s="7" t="s">
        <v>4249</v>
      </c>
      <c r="N754" s="7" t="s">
        <v>1974</v>
      </c>
      <c r="O754" s="7"/>
      <c r="P754" s="13" t="s">
        <v>1993</v>
      </c>
    </row>
    <row r="755" spans="1:16" x14ac:dyDescent="0.25">
      <c r="A755" s="7" t="s">
        <v>1897</v>
      </c>
      <c r="B755" s="7" t="str">
        <f>"1656"</f>
        <v>1656</v>
      </c>
      <c r="C755" s="7">
        <v>2020</v>
      </c>
      <c r="D755" s="7" t="s">
        <v>1867</v>
      </c>
      <c r="E755" s="7" t="s">
        <v>1875</v>
      </c>
      <c r="F755" s="7" t="s">
        <v>4000</v>
      </c>
      <c r="G755" s="7" t="s">
        <v>1871</v>
      </c>
      <c r="H755" s="7">
        <v>36752248</v>
      </c>
      <c r="I755" s="7">
        <v>7</v>
      </c>
      <c r="J755" s="7" t="s">
        <v>2009</v>
      </c>
      <c r="K755" s="8">
        <v>4240000</v>
      </c>
      <c r="L755" s="7" t="s">
        <v>1915</v>
      </c>
      <c r="M755" s="7" t="s">
        <v>3947</v>
      </c>
      <c r="N755" s="7" t="s">
        <v>1974</v>
      </c>
      <c r="O755" s="7"/>
      <c r="P755" s="13" t="s">
        <v>1993</v>
      </c>
    </row>
    <row r="756" spans="1:16" ht="45" x14ac:dyDescent="0.25">
      <c r="A756" s="7" t="s">
        <v>1897</v>
      </c>
      <c r="B756" s="7" t="str">
        <f>"1661"</f>
        <v>1661</v>
      </c>
      <c r="C756" s="7">
        <v>2020</v>
      </c>
      <c r="D756" s="7" t="s">
        <v>1867</v>
      </c>
      <c r="E756" s="7" t="s">
        <v>1875</v>
      </c>
      <c r="F756" s="7" t="s">
        <v>4263</v>
      </c>
      <c r="G756" s="7" t="s">
        <v>1871</v>
      </c>
      <c r="H756" s="7">
        <v>30742395</v>
      </c>
      <c r="I756" s="7">
        <v>7</v>
      </c>
      <c r="J756" s="7" t="s">
        <v>3109</v>
      </c>
      <c r="K756" s="8">
        <v>4240000</v>
      </c>
      <c r="L756" s="7" t="s">
        <v>1915</v>
      </c>
      <c r="M756" s="7" t="s">
        <v>3947</v>
      </c>
      <c r="N756" s="7" t="s">
        <v>1974</v>
      </c>
      <c r="O756" s="7"/>
      <c r="P756" s="13" t="s">
        <v>4264</v>
      </c>
    </row>
    <row r="757" spans="1:16" ht="45" x14ac:dyDescent="0.25">
      <c r="A757" s="7" t="s">
        <v>1897</v>
      </c>
      <c r="B757" s="7" t="str">
        <f>"1662"</f>
        <v>1662</v>
      </c>
      <c r="C757" s="7">
        <v>2020</v>
      </c>
      <c r="D757" s="7" t="s">
        <v>1867</v>
      </c>
      <c r="E757" s="7" t="s">
        <v>1875</v>
      </c>
      <c r="F757" s="7" t="s">
        <v>4000</v>
      </c>
      <c r="G757" s="7" t="s">
        <v>1871</v>
      </c>
      <c r="H757" s="7">
        <v>59829742</v>
      </c>
      <c r="I757" s="7"/>
      <c r="J757" s="7" t="s">
        <v>2989</v>
      </c>
      <c r="K757" s="8">
        <v>4240000</v>
      </c>
      <c r="L757" s="7" t="s">
        <v>1915</v>
      </c>
      <c r="M757" s="7" t="s">
        <v>3947</v>
      </c>
      <c r="N757" s="7" t="s">
        <v>1974</v>
      </c>
      <c r="O757" s="7"/>
      <c r="P757" s="13" t="s">
        <v>4265</v>
      </c>
    </row>
    <row r="758" spans="1:16" x14ac:dyDescent="0.25">
      <c r="A758" s="7" t="s">
        <v>1897</v>
      </c>
      <c r="B758" s="7" t="str">
        <f>"1679"</f>
        <v>1679</v>
      </c>
      <c r="C758" s="7">
        <v>2020</v>
      </c>
      <c r="D758" s="7" t="s">
        <v>1867</v>
      </c>
      <c r="E758" s="7" t="s">
        <v>1875</v>
      </c>
      <c r="F758" s="7" t="s">
        <v>4270</v>
      </c>
      <c r="G758" s="7" t="s">
        <v>1871</v>
      </c>
      <c r="H758" s="7">
        <v>1131084164</v>
      </c>
      <c r="I758" s="7"/>
      <c r="J758" s="7" t="s">
        <v>4271</v>
      </c>
      <c r="K758" s="8">
        <v>10600000</v>
      </c>
      <c r="L758" s="7" t="s">
        <v>4136</v>
      </c>
      <c r="M758" s="7" t="s">
        <v>3865</v>
      </c>
      <c r="N758" s="7" t="s">
        <v>1974</v>
      </c>
      <c r="O758" s="7"/>
      <c r="P758" s="13" t="s">
        <v>1993</v>
      </c>
    </row>
    <row r="759" spans="1:16" x14ac:dyDescent="0.25">
      <c r="A759" s="7" t="s">
        <v>1897</v>
      </c>
      <c r="B759" s="7" t="str">
        <f>"1680"</f>
        <v>1680</v>
      </c>
      <c r="C759" s="7">
        <v>2020</v>
      </c>
      <c r="D759" s="7" t="s">
        <v>1867</v>
      </c>
      <c r="E759" s="7" t="s">
        <v>1875</v>
      </c>
      <c r="F759" s="7" t="s">
        <v>4270</v>
      </c>
      <c r="G759" s="7" t="s">
        <v>1871</v>
      </c>
      <c r="H759" s="7">
        <v>1131084164</v>
      </c>
      <c r="I759" s="7">
        <v>6</v>
      </c>
      <c r="J759" s="7" t="s">
        <v>4272</v>
      </c>
      <c r="K759" s="8">
        <v>10600000</v>
      </c>
      <c r="L759" s="7" t="s">
        <v>4136</v>
      </c>
      <c r="M759" s="7" t="s">
        <v>2117</v>
      </c>
      <c r="N759" s="7" t="s">
        <v>1974</v>
      </c>
      <c r="O759" s="7"/>
      <c r="P759" s="13" t="s">
        <v>1993</v>
      </c>
    </row>
    <row r="760" spans="1:16" x14ac:dyDescent="0.25">
      <c r="A760" s="7" t="s">
        <v>1897</v>
      </c>
      <c r="B760" s="7" t="str">
        <f>"1681"</f>
        <v>1681</v>
      </c>
      <c r="C760" s="7">
        <v>2020</v>
      </c>
      <c r="D760" s="7" t="s">
        <v>1867</v>
      </c>
      <c r="E760" s="7" t="s">
        <v>1868</v>
      </c>
      <c r="F760" s="7" t="s">
        <v>4273</v>
      </c>
      <c r="G760" s="7" t="s">
        <v>1871</v>
      </c>
      <c r="H760" s="7">
        <v>59826260</v>
      </c>
      <c r="I760" s="7">
        <v>9</v>
      </c>
      <c r="J760" s="7" t="s">
        <v>4274</v>
      </c>
      <c r="K760" s="8">
        <v>13757952</v>
      </c>
      <c r="L760" s="7" t="s">
        <v>4136</v>
      </c>
      <c r="M760" s="7" t="s">
        <v>3358</v>
      </c>
      <c r="N760" s="7" t="s">
        <v>1974</v>
      </c>
      <c r="O760" s="7"/>
      <c r="P760" s="13" t="s">
        <v>1993</v>
      </c>
    </row>
    <row r="761" spans="1:16" ht="45" x14ac:dyDescent="0.25">
      <c r="A761" s="7" t="s">
        <v>1897</v>
      </c>
      <c r="B761" s="7" t="str">
        <f>"1691"</f>
        <v>1691</v>
      </c>
      <c r="C761" s="7">
        <v>2020</v>
      </c>
      <c r="D761" s="7" t="s">
        <v>1867</v>
      </c>
      <c r="E761" s="7" t="s">
        <v>1868</v>
      </c>
      <c r="F761" s="7" t="s">
        <v>4279</v>
      </c>
      <c r="G761" s="7" t="s">
        <v>1871</v>
      </c>
      <c r="H761" s="7">
        <v>25281486</v>
      </c>
      <c r="I761" s="7">
        <v>1</v>
      </c>
      <c r="J761" s="7" t="s">
        <v>4280</v>
      </c>
      <c r="K761" s="8">
        <v>13757952</v>
      </c>
      <c r="L761" s="7" t="s">
        <v>3476</v>
      </c>
      <c r="M761" s="7" t="s">
        <v>2117</v>
      </c>
      <c r="N761" s="7" t="s">
        <v>1974</v>
      </c>
      <c r="O761" s="7"/>
      <c r="P761" s="13" t="s">
        <v>4281</v>
      </c>
    </row>
    <row r="762" spans="1:16" x14ac:dyDescent="0.25">
      <c r="A762" s="7" t="s">
        <v>1897</v>
      </c>
      <c r="B762" s="7" t="str">
        <f>"1703"</f>
        <v>1703</v>
      </c>
      <c r="C762" s="7">
        <v>2020</v>
      </c>
      <c r="D762" s="7" t="s">
        <v>1867</v>
      </c>
      <c r="E762" s="7" t="s">
        <v>1875</v>
      </c>
      <c r="F762" s="7" t="s">
        <v>4000</v>
      </c>
      <c r="G762" s="7" t="s">
        <v>1871</v>
      </c>
      <c r="H762" s="7">
        <v>30744894</v>
      </c>
      <c r="I762" s="7">
        <v>1</v>
      </c>
      <c r="J762" s="7" t="s">
        <v>2011</v>
      </c>
      <c r="K762" s="8">
        <v>3922000</v>
      </c>
      <c r="L762" s="7" t="s">
        <v>3476</v>
      </c>
      <c r="M762" s="7" t="s">
        <v>4077</v>
      </c>
      <c r="N762" s="7" t="s">
        <v>1974</v>
      </c>
      <c r="O762" s="7"/>
      <c r="P762" s="13" t="s">
        <v>1993</v>
      </c>
    </row>
    <row r="763" spans="1:16" x14ac:dyDescent="0.25">
      <c r="A763" s="7" t="s">
        <v>1897</v>
      </c>
      <c r="B763" s="7" t="str">
        <f>"1704"</f>
        <v>1704</v>
      </c>
      <c r="C763" s="7">
        <v>2020</v>
      </c>
      <c r="D763" s="7" t="s">
        <v>1867</v>
      </c>
      <c r="E763" s="7" t="s">
        <v>1875</v>
      </c>
      <c r="F763" s="7" t="s">
        <v>4000</v>
      </c>
      <c r="G763" s="7" t="s">
        <v>1871</v>
      </c>
      <c r="H763" s="7">
        <v>36754604</v>
      </c>
      <c r="I763" s="7"/>
      <c r="J763" s="7" t="s">
        <v>4285</v>
      </c>
      <c r="K763" s="8">
        <v>3922000</v>
      </c>
      <c r="L763" s="7" t="s">
        <v>3476</v>
      </c>
      <c r="M763" s="7" t="s">
        <v>4077</v>
      </c>
      <c r="N763" s="7" t="s">
        <v>1974</v>
      </c>
      <c r="O763" s="7"/>
      <c r="P763" s="13" t="s">
        <v>1993</v>
      </c>
    </row>
    <row r="764" spans="1:16" x14ac:dyDescent="0.25">
      <c r="A764" s="7" t="s">
        <v>1897</v>
      </c>
      <c r="B764" s="7" t="str">
        <f>"1706"</f>
        <v>1706</v>
      </c>
      <c r="C764" s="7">
        <v>2020</v>
      </c>
      <c r="D764" s="7" t="s">
        <v>1867</v>
      </c>
      <c r="E764" s="7" t="s">
        <v>1875</v>
      </c>
      <c r="F764" s="7" t="s">
        <v>4286</v>
      </c>
      <c r="G764" s="7" t="s">
        <v>1871</v>
      </c>
      <c r="H764" s="7">
        <v>1084223935</v>
      </c>
      <c r="I764" s="7">
        <v>5</v>
      </c>
      <c r="J764" s="7" t="s">
        <v>3014</v>
      </c>
      <c r="K764" s="8">
        <v>10600000</v>
      </c>
      <c r="L764" s="7" t="s">
        <v>3476</v>
      </c>
      <c r="M764" s="7" t="s">
        <v>2167</v>
      </c>
      <c r="N764" s="7" t="s">
        <v>1974</v>
      </c>
      <c r="O764" s="7"/>
      <c r="P764" s="13" t="s">
        <v>1993</v>
      </c>
    </row>
    <row r="765" spans="1:16" x14ac:dyDescent="0.25">
      <c r="A765" s="7" t="s">
        <v>1897</v>
      </c>
      <c r="B765" s="7" t="str">
        <f>"1724"</f>
        <v>1724</v>
      </c>
      <c r="C765" s="7">
        <v>2020</v>
      </c>
      <c r="D765" s="7" t="s">
        <v>1867</v>
      </c>
      <c r="E765" s="7" t="s">
        <v>1868</v>
      </c>
      <c r="F765" s="7" t="s">
        <v>4288</v>
      </c>
      <c r="G765" s="7" t="s">
        <v>1871</v>
      </c>
      <c r="H765" s="7">
        <v>6770970</v>
      </c>
      <c r="I765" s="7">
        <v>4</v>
      </c>
      <c r="J765" s="7" t="s">
        <v>4289</v>
      </c>
      <c r="K765" s="8" t="s">
        <v>4323</v>
      </c>
      <c r="L765" s="7" t="s">
        <v>3050</v>
      </c>
      <c r="M765" s="7" t="s">
        <v>3865</v>
      </c>
      <c r="N765" s="7" t="s">
        <v>1974</v>
      </c>
      <c r="O765" s="7"/>
      <c r="P765" s="13" t="s">
        <v>1993</v>
      </c>
    </row>
    <row r="766" spans="1:16" x14ac:dyDescent="0.25">
      <c r="A766" s="7" t="s">
        <v>1897</v>
      </c>
      <c r="B766" s="7" t="str">
        <f>"1799"</f>
        <v>1799</v>
      </c>
      <c r="C766" s="7">
        <v>2020</v>
      </c>
      <c r="D766" s="7" t="s">
        <v>1867</v>
      </c>
      <c r="E766" s="7" t="s">
        <v>1875</v>
      </c>
      <c r="F766" s="7" t="s">
        <v>4308</v>
      </c>
      <c r="G766" s="7" t="s">
        <v>1871</v>
      </c>
      <c r="H766" s="7">
        <v>1115075195</v>
      </c>
      <c r="I766" s="7">
        <v>8</v>
      </c>
      <c r="J766" s="7" t="s">
        <v>4309</v>
      </c>
      <c r="K766" s="8">
        <v>9098333</v>
      </c>
      <c r="L766" s="7" t="s">
        <v>2117</v>
      </c>
      <c r="M766" s="7" t="s">
        <v>4203</v>
      </c>
      <c r="N766" s="7" t="s">
        <v>1974</v>
      </c>
      <c r="O766" s="7"/>
      <c r="P766" s="13" t="s">
        <v>1993</v>
      </c>
    </row>
    <row r="767" spans="1:16" x14ac:dyDescent="0.25">
      <c r="A767" s="7" t="s">
        <v>1897</v>
      </c>
      <c r="B767" s="7" t="str">
        <f>"1834"</f>
        <v>1834</v>
      </c>
      <c r="C767" s="7">
        <v>2020</v>
      </c>
      <c r="D767" s="7" t="s">
        <v>1867</v>
      </c>
      <c r="E767" s="7" t="s">
        <v>1875</v>
      </c>
      <c r="F767" s="7" t="s">
        <v>4000</v>
      </c>
      <c r="G767" s="7" t="s">
        <v>1871</v>
      </c>
      <c r="H767" s="7">
        <v>30726052</v>
      </c>
      <c r="I767" s="7">
        <v>9</v>
      </c>
      <c r="J767" s="7" t="s">
        <v>4316</v>
      </c>
      <c r="K767" s="8" t="s">
        <v>4324</v>
      </c>
      <c r="L767" s="7" t="s">
        <v>4249</v>
      </c>
      <c r="M767" s="7" t="s">
        <v>4203</v>
      </c>
      <c r="N767" s="7" t="s">
        <v>1974</v>
      </c>
      <c r="O767" s="7"/>
      <c r="P767" s="13" t="s">
        <v>1993</v>
      </c>
    </row>
    <row r="768" spans="1:16" ht="45" x14ac:dyDescent="0.25">
      <c r="A768" s="7" t="s">
        <v>1958</v>
      </c>
      <c r="B768" s="7" t="str">
        <f>"1331"</f>
        <v>1331</v>
      </c>
      <c r="C768" s="7">
        <v>2020</v>
      </c>
      <c r="D768" s="7" t="s">
        <v>1867</v>
      </c>
      <c r="E768" s="7" t="s">
        <v>1868</v>
      </c>
      <c r="F768" s="7" t="s">
        <v>3768</v>
      </c>
      <c r="G768" s="7" t="s">
        <v>1871</v>
      </c>
      <c r="H768" s="7">
        <v>87247916</v>
      </c>
      <c r="I768" s="7">
        <v>9</v>
      </c>
      <c r="J768" s="7" t="s">
        <v>3769</v>
      </c>
      <c r="K768" s="8">
        <v>16000000</v>
      </c>
      <c r="L768" s="7" t="s">
        <v>3752</v>
      </c>
      <c r="M768" s="7" t="s">
        <v>3765</v>
      </c>
      <c r="N768" s="7" t="s">
        <v>3770</v>
      </c>
      <c r="O768" s="7"/>
      <c r="P768" s="13" t="s">
        <v>3771</v>
      </c>
    </row>
    <row r="769" spans="1:16" ht="30" x14ac:dyDescent="0.25">
      <c r="A769" s="7" t="s">
        <v>1958</v>
      </c>
      <c r="B769" s="7" t="str">
        <f>"0194"</f>
        <v>0194</v>
      </c>
      <c r="C769" s="7">
        <v>2020</v>
      </c>
      <c r="D769" s="7" t="s">
        <v>1867</v>
      </c>
      <c r="E769" s="7" t="s">
        <v>1868</v>
      </c>
      <c r="F769" s="7" t="s">
        <v>1959</v>
      </c>
      <c r="G769" s="7" t="s">
        <v>1871</v>
      </c>
      <c r="H769" s="7">
        <v>1085322469</v>
      </c>
      <c r="I769" s="7">
        <v>2</v>
      </c>
      <c r="J769" s="7" t="s">
        <v>2073</v>
      </c>
      <c r="K769" s="8">
        <v>27515904</v>
      </c>
      <c r="L769" s="7" t="s">
        <v>2060</v>
      </c>
      <c r="M769" s="7" t="s">
        <v>2037</v>
      </c>
      <c r="N769" s="7" t="s">
        <v>2074</v>
      </c>
      <c r="O769" s="7" t="s">
        <v>2075</v>
      </c>
      <c r="P769" s="13" t="s">
        <v>2076</v>
      </c>
    </row>
    <row r="770" spans="1:16" ht="30" x14ac:dyDescent="0.25">
      <c r="A770" s="7" t="s">
        <v>1958</v>
      </c>
      <c r="B770" s="7" t="str">
        <f>"0196"</f>
        <v>0196</v>
      </c>
      <c r="C770" s="7">
        <v>2020</v>
      </c>
      <c r="D770" s="7" t="s">
        <v>1867</v>
      </c>
      <c r="E770" s="7" t="s">
        <v>1875</v>
      </c>
      <c r="F770" s="7" t="s">
        <v>2077</v>
      </c>
      <c r="G770" s="7" t="s">
        <v>1871</v>
      </c>
      <c r="H770" s="7">
        <v>1085303596</v>
      </c>
      <c r="I770" s="7">
        <v>9</v>
      </c>
      <c r="J770" s="7" t="s">
        <v>2078</v>
      </c>
      <c r="K770" s="8">
        <v>21200000</v>
      </c>
      <c r="L770" s="7" t="s">
        <v>2060</v>
      </c>
      <c r="M770" s="7" t="s">
        <v>2037</v>
      </c>
      <c r="N770" s="7" t="s">
        <v>2074</v>
      </c>
      <c r="O770" s="7"/>
      <c r="P770" s="13" t="s">
        <v>2079</v>
      </c>
    </row>
    <row r="771" spans="1:16" ht="30" x14ac:dyDescent="0.25">
      <c r="A771" s="7" t="s">
        <v>1958</v>
      </c>
      <c r="B771" s="7" t="str">
        <f>"0197"</f>
        <v>0197</v>
      </c>
      <c r="C771" s="7">
        <v>2020</v>
      </c>
      <c r="D771" s="7" t="s">
        <v>1867</v>
      </c>
      <c r="E771" s="7" t="s">
        <v>1868</v>
      </c>
      <c r="F771" s="7" t="s">
        <v>2080</v>
      </c>
      <c r="G771" s="7" t="s">
        <v>1871</v>
      </c>
      <c r="H771" s="7">
        <v>12753597</v>
      </c>
      <c r="I771" s="7">
        <v>1</v>
      </c>
      <c r="J771" s="7" t="s">
        <v>2081</v>
      </c>
      <c r="K771" s="8">
        <v>27515904</v>
      </c>
      <c r="L771" s="7" t="s">
        <v>2060</v>
      </c>
      <c r="M771" s="7" t="s">
        <v>2037</v>
      </c>
      <c r="N771" s="7" t="s">
        <v>2074</v>
      </c>
      <c r="O771" s="7"/>
      <c r="P771" s="13" t="s">
        <v>2082</v>
      </c>
    </row>
    <row r="772" spans="1:16" ht="30" x14ac:dyDescent="0.25">
      <c r="A772" s="7" t="s">
        <v>1958</v>
      </c>
      <c r="B772" s="7" t="str">
        <f>"0199"</f>
        <v>0199</v>
      </c>
      <c r="C772" s="7">
        <v>2020</v>
      </c>
      <c r="D772" s="7" t="s">
        <v>1867</v>
      </c>
      <c r="E772" s="7" t="s">
        <v>1868</v>
      </c>
      <c r="F772" s="7" t="s">
        <v>2083</v>
      </c>
      <c r="G772" s="7" t="s">
        <v>1871</v>
      </c>
      <c r="H772" s="7">
        <v>30738078</v>
      </c>
      <c r="I772" s="7">
        <v>1</v>
      </c>
      <c r="J772" s="7" t="s">
        <v>2084</v>
      </c>
      <c r="K772" s="8">
        <v>27515904</v>
      </c>
      <c r="L772" s="7" t="s">
        <v>2060</v>
      </c>
      <c r="M772" s="7" t="s">
        <v>1914</v>
      </c>
      <c r="N772" s="7" t="s">
        <v>2074</v>
      </c>
      <c r="O772" s="7"/>
      <c r="P772" s="13" t="s">
        <v>2085</v>
      </c>
    </row>
    <row r="773" spans="1:16" ht="30" x14ac:dyDescent="0.25">
      <c r="A773" s="7" t="s">
        <v>1958</v>
      </c>
      <c r="B773" s="7" t="str">
        <f>"0200"</f>
        <v>0200</v>
      </c>
      <c r="C773" s="7">
        <v>2020</v>
      </c>
      <c r="D773" s="7" t="s">
        <v>1867</v>
      </c>
      <c r="E773" s="7" t="s">
        <v>1868</v>
      </c>
      <c r="F773" s="7" t="s">
        <v>2086</v>
      </c>
      <c r="G773" s="7" t="s">
        <v>1871</v>
      </c>
      <c r="H773" s="7">
        <v>1085272932</v>
      </c>
      <c r="I773" s="7">
        <v>6</v>
      </c>
      <c r="J773" s="7" t="s">
        <v>2087</v>
      </c>
      <c r="K773" s="8">
        <v>27515904</v>
      </c>
      <c r="L773" s="7" t="s">
        <v>2060</v>
      </c>
      <c r="M773" s="7" t="s">
        <v>2037</v>
      </c>
      <c r="N773" s="7" t="s">
        <v>2074</v>
      </c>
      <c r="O773" s="7"/>
      <c r="P773" s="13" t="s">
        <v>2088</v>
      </c>
    </row>
    <row r="774" spans="1:16" ht="30" x14ac:dyDescent="0.25">
      <c r="A774" s="7" t="s">
        <v>1958</v>
      </c>
      <c r="B774" s="7" t="str">
        <f>"0396"</f>
        <v>0396</v>
      </c>
      <c r="C774" s="7">
        <v>2020</v>
      </c>
      <c r="D774" s="7" t="s">
        <v>1867</v>
      </c>
      <c r="E774" s="7" t="s">
        <v>1868</v>
      </c>
      <c r="F774" s="7" t="s">
        <v>2487</v>
      </c>
      <c r="G774" s="7" t="s">
        <v>1871</v>
      </c>
      <c r="H774" s="7">
        <v>12751823</v>
      </c>
      <c r="I774" s="7">
        <v>0</v>
      </c>
      <c r="J774" s="7" t="s">
        <v>2488</v>
      </c>
      <c r="K774" s="8">
        <v>27515904</v>
      </c>
      <c r="L774" s="7" t="s">
        <v>1898</v>
      </c>
      <c r="M774" s="7" t="s">
        <v>2318</v>
      </c>
      <c r="N774" s="7" t="s">
        <v>2167</v>
      </c>
      <c r="O774" s="7"/>
      <c r="P774" s="13" t="s">
        <v>2489</v>
      </c>
    </row>
    <row r="775" spans="1:16" ht="30" x14ac:dyDescent="0.25">
      <c r="A775" s="7" t="s">
        <v>1958</v>
      </c>
      <c r="B775" s="7" t="str">
        <f>"0404"</f>
        <v>0404</v>
      </c>
      <c r="C775" s="7">
        <v>2020</v>
      </c>
      <c r="D775" s="7" t="s">
        <v>1867</v>
      </c>
      <c r="E775" s="7" t="s">
        <v>1868</v>
      </c>
      <c r="F775" s="7" t="s">
        <v>2505</v>
      </c>
      <c r="G775" s="7" t="s">
        <v>1871</v>
      </c>
      <c r="H775" s="7">
        <v>1144037671</v>
      </c>
      <c r="I775" s="7">
        <v>6</v>
      </c>
      <c r="J775" s="7" t="s">
        <v>2506</v>
      </c>
      <c r="K775" s="8">
        <v>27515904</v>
      </c>
      <c r="L775" s="7" t="s">
        <v>1898</v>
      </c>
      <c r="M775" s="7" t="s">
        <v>2022</v>
      </c>
      <c r="N775" s="7" t="s">
        <v>2167</v>
      </c>
      <c r="O775" s="7"/>
      <c r="P775" s="13" t="s">
        <v>2507</v>
      </c>
    </row>
    <row r="776" spans="1:16" ht="30" x14ac:dyDescent="0.25">
      <c r="A776" s="7" t="s">
        <v>1958</v>
      </c>
      <c r="B776" s="7" t="str">
        <f>"0409"</f>
        <v>0409</v>
      </c>
      <c r="C776" s="7">
        <v>2020</v>
      </c>
      <c r="D776" s="7" t="s">
        <v>1867</v>
      </c>
      <c r="E776" s="7" t="s">
        <v>1868</v>
      </c>
      <c r="F776" s="7" t="s">
        <v>2512</v>
      </c>
      <c r="G776" s="7" t="s">
        <v>1871</v>
      </c>
      <c r="H776" s="7">
        <v>1116253921</v>
      </c>
      <c r="I776" s="7">
        <v>6</v>
      </c>
      <c r="J776" s="7" t="s">
        <v>2513</v>
      </c>
      <c r="K776" s="8">
        <v>27515904</v>
      </c>
      <c r="L776" s="7" t="s">
        <v>1898</v>
      </c>
      <c r="M776" s="7" t="s">
        <v>2318</v>
      </c>
      <c r="N776" s="7" t="s">
        <v>2167</v>
      </c>
      <c r="O776" s="7"/>
      <c r="P776" s="13" t="s">
        <v>2514</v>
      </c>
    </row>
    <row r="777" spans="1:16" ht="30" x14ac:dyDescent="0.25">
      <c r="A777" s="7" t="s">
        <v>1958</v>
      </c>
      <c r="B777" s="7" t="str">
        <f>"0594"</f>
        <v>0594</v>
      </c>
      <c r="C777" s="7">
        <v>2020</v>
      </c>
      <c r="D777" s="7" t="s">
        <v>1867</v>
      </c>
      <c r="E777" s="7" t="s">
        <v>1875</v>
      </c>
      <c r="F777" s="7" t="s">
        <v>2796</v>
      </c>
      <c r="G777" s="7" t="s">
        <v>1871</v>
      </c>
      <c r="H777" s="7">
        <v>1085292869</v>
      </c>
      <c r="I777" s="7">
        <v>5</v>
      </c>
      <c r="J777" s="7" t="s">
        <v>2797</v>
      </c>
      <c r="K777" s="8">
        <v>15264000</v>
      </c>
      <c r="L777" s="7" t="s">
        <v>1898</v>
      </c>
      <c r="M777" s="7" t="s">
        <v>2204</v>
      </c>
      <c r="N777" s="7" t="s">
        <v>2167</v>
      </c>
      <c r="O777" s="7"/>
      <c r="P777" s="13" t="s">
        <v>2798</v>
      </c>
    </row>
    <row r="778" spans="1:16" ht="30" x14ac:dyDescent="0.25">
      <c r="A778" s="7" t="s">
        <v>1958</v>
      </c>
      <c r="B778" s="7" t="str">
        <f>"0700"</f>
        <v>0700</v>
      </c>
      <c r="C778" s="7">
        <v>2020</v>
      </c>
      <c r="D778" s="7" t="s">
        <v>1867</v>
      </c>
      <c r="E778" s="7" t="s">
        <v>1875</v>
      </c>
      <c r="F778" s="7" t="s">
        <v>1936</v>
      </c>
      <c r="G778" s="7" t="s">
        <v>1871</v>
      </c>
      <c r="H778" s="7">
        <v>5206559</v>
      </c>
      <c r="I778" s="7">
        <v>9</v>
      </c>
      <c r="J778" s="7" t="s">
        <v>2940</v>
      </c>
      <c r="K778" s="8">
        <v>15264000</v>
      </c>
      <c r="L778" s="7" t="s">
        <v>1997</v>
      </c>
      <c r="M778" s="7" t="s">
        <v>2318</v>
      </c>
      <c r="N778" s="7" t="s">
        <v>2167</v>
      </c>
      <c r="O778" s="7"/>
      <c r="P778" s="13" t="s">
        <v>2941</v>
      </c>
    </row>
    <row r="779" spans="1:16" ht="30" x14ac:dyDescent="0.25">
      <c r="A779" s="7" t="s">
        <v>1958</v>
      </c>
      <c r="B779" s="7" t="str">
        <f>"0725"</f>
        <v>0725</v>
      </c>
      <c r="C779" s="7">
        <v>2020</v>
      </c>
      <c r="D779" s="7" t="s">
        <v>1867</v>
      </c>
      <c r="E779" s="7" t="s">
        <v>1989</v>
      </c>
      <c r="F779" s="7" t="s">
        <v>2981</v>
      </c>
      <c r="G779" s="7" t="s">
        <v>1871</v>
      </c>
      <c r="H779" s="7">
        <v>36750229</v>
      </c>
      <c r="I779" s="7">
        <v>8</v>
      </c>
      <c r="J779" s="7" t="s">
        <v>1964</v>
      </c>
      <c r="K779" s="8">
        <v>27515904</v>
      </c>
      <c r="L779" s="7" t="s">
        <v>1997</v>
      </c>
      <c r="M779" s="7" t="s">
        <v>2239</v>
      </c>
      <c r="N779" s="7" t="s">
        <v>2167</v>
      </c>
      <c r="O779" s="7"/>
      <c r="P779" s="13" t="s">
        <v>2982</v>
      </c>
    </row>
    <row r="780" spans="1:16" ht="30" x14ac:dyDescent="0.25">
      <c r="A780" s="7" t="s">
        <v>1958</v>
      </c>
      <c r="B780" s="7" t="str">
        <f>"0403"</f>
        <v>0403</v>
      </c>
      <c r="C780" s="7">
        <v>2020</v>
      </c>
      <c r="D780" s="7" t="s">
        <v>1867</v>
      </c>
      <c r="E780" s="7" t="s">
        <v>1875</v>
      </c>
      <c r="F780" s="7" t="s">
        <v>2502</v>
      </c>
      <c r="G780" s="7" t="s">
        <v>1871</v>
      </c>
      <c r="H780" s="7">
        <v>1085296349</v>
      </c>
      <c r="I780" s="7">
        <v>5</v>
      </c>
      <c r="J780" s="7" t="s">
        <v>2503</v>
      </c>
      <c r="K780" s="8">
        <v>21200000</v>
      </c>
      <c r="L780" s="7" t="s">
        <v>1898</v>
      </c>
      <c r="M780" s="7" t="s">
        <v>2204</v>
      </c>
      <c r="N780" s="7" t="s">
        <v>2197</v>
      </c>
      <c r="O780" s="7"/>
      <c r="P780" s="13" t="s">
        <v>2504</v>
      </c>
    </row>
    <row r="781" spans="1:16" ht="30" x14ac:dyDescent="0.25">
      <c r="A781" s="7" t="s">
        <v>1958</v>
      </c>
      <c r="B781" s="7" t="str">
        <f>"0407"</f>
        <v>0407</v>
      </c>
      <c r="C781" s="7">
        <v>2020</v>
      </c>
      <c r="D781" s="7" t="s">
        <v>1867</v>
      </c>
      <c r="E781" s="7" t="s">
        <v>1875</v>
      </c>
      <c r="F781" s="7" t="s">
        <v>2509</v>
      </c>
      <c r="G781" s="7" t="s">
        <v>1871</v>
      </c>
      <c r="H781" s="7">
        <v>1085285828</v>
      </c>
      <c r="I781" s="7">
        <v>4</v>
      </c>
      <c r="J781" s="7" t="s">
        <v>2510</v>
      </c>
      <c r="K781" s="8">
        <v>21200000</v>
      </c>
      <c r="L781" s="7" t="s">
        <v>1898</v>
      </c>
      <c r="M781" s="7" t="s">
        <v>2350</v>
      </c>
      <c r="N781" s="7" t="s">
        <v>2197</v>
      </c>
      <c r="O781" s="7"/>
      <c r="P781" s="13" t="s">
        <v>2511</v>
      </c>
    </row>
    <row r="782" spans="1:16" ht="30" x14ac:dyDescent="0.25">
      <c r="A782" s="7" t="s">
        <v>1958</v>
      </c>
      <c r="B782" s="7" t="str">
        <f>"0410"</f>
        <v>0410</v>
      </c>
      <c r="C782" s="7">
        <v>2020</v>
      </c>
      <c r="D782" s="7" t="s">
        <v>1867</v>
      </c>
      <c r="E782" s="7" t="s">
        <v>1868</v>
      </c>
      <c r="F782" s="7" t="s">
        <v>2515</v>
      </c>
      <c r="G782" s="7" t="s">
        <v>1871</v>
      </c>
      <c r="H782" s="7">
        <v>1085896652</v>
      </c>
      <c r="I782" s="7">
        <v>7</v>
      </c>
      <c r="J782" s="7" t="s">
        <v>2516</v>
      </c>
      <c r="K782" s="8">
        <v>27515904</v>
      </c>
      <c r="L782" s="7" t="s">
        <v>1898</v>
      </c>
      <c r="M782" s="7" t="s">
        <v>2350</v>
      </c>
      <c r="N782" s="7" t="s">
        <v>2197</v>
      </c>
      <c r="O782" s="7"/>
      <c r="P782" s="13" t="s">
        <v>2517</v>
      </c>
    </row>
    <row r="783" spans="1:16" ht="30" x14ac:dyDescent="0.25">
      <c r="A783" s="7" t="s">
        <v>1958</v>
      </c>
      <c r="B783" s="7" t="str">
        <f>"0412"</f>
        <v>0412</v>
      </c>
      <c r="C783" s="7">
        <v>2020</v>
      </c>
      <c r="D783" s="7" t="s">
        <v>1867</v>
      </c>
      <c r="E783" s="7" t="s">
        <v>1875</v>
      </c>
      <c r="F783" s="7" t="s">
        <v>2518</v>
      </c>
      <c r="G783" s="7" t="s">
        <v>1871</v>
      </c>
      <c r="H783" s="7">
        <v>1088268754</v>
      </c>
      <c r="I783" s="7">
        <v>7</v>
      </c>
      <c r="J783" s="7" t="s">
        <v>2519</v>
      </c>
      <c r="K783" s="8">
        <v>21200000</v>
      </c>
      <c r="L783" s="7" t="s">
        <v>1898</v>
      </c>
      <c r="M783" s="7" t="s">
        <v>2204</v>
      </c>
      <c r="N783" s="7" t="s">
        <v>2197</v>
      </c>
      <c r="O783" s="7"/>
      <c r="P783" s="13" t="s">
        <v>2520</v>
      </c>
    </row>
    <row r="784" spans="1:16" ht="30" x14ac:dyDescent="0.25">
      <c r="A784" s="7" t="s">
        <v>1958</v>
      </c>
      <c r="B784" s="7" t="str">
        <f>"0413"</f>
        <v>0413</v>
      </c>
      <c r="C784" s="7">
        <v>2020</v>
      </c>
      <c r="D784" s="7" t="s">
        <v>1867</v>
      </c>
      <c r="E784" s="7" t="s">
        <v>1868</v>
      </c>
      <c r="F784" s="7" t="s">
        <v>2521</v>
      </c>
      <c r="G784" s="7" t="s">
        <v>1871</v>
      </c>
      <c r="H784" s="7">
        <v>1085278533</v>
      </c>
      <c r="I784" s="7">
        <v>8</v>
      </c>
      <c r="J784" s="7" t="s">
        <v>2522</v>
      </c>
      <c r="K784" s="8">
        <v>27515904</v>
      </c>
      <c r="L784" s="7" t="s">
        <v>1898</v>
      </c>
      <c r="M784" s="7" t="s">
        <v>2107</v>
      </c>
      <c r="N784" s="7" t="s">
        <v>2205</v>
      </c>
      <c r="O784" s="7"/>
      <c r="P784" s="13" t="s">
        <v>2523</v>
      </c>
    </row>
    <row r="785" spans="1:16" ht="30" x14ac:dyDescent="0.25">
      <c r="A785" s="7" t="s">
        <v>1958</v>
      </c>
      <c r="B785" s="7" t="str">
        <f>"0606"</f>
        <v>0606</v>
      </c>
      <c r="C785" s="7">
        <v>2020</v>
      </c>
      <c r="D785" s="7" t="s">
        <v>1867</v>
      </c>
      <c r="E785" s="7" t="s">
        <v>1868</v>
      </c>
      <c r="F785" s="7" t="s">
        <v>2820</v>
      </c>
      <c r="G785" s="7" t="s">
        <v>1871</v>
      </c>
      <c r="H785" s="7">
        <v>87248313</v>
      </c>
      <c r="I785" s="7">
        <v>2</v>
      </c>
      <c r="J785" s="7" t="s">
        <v>2821</v>
      </c>
      <c r="K785" s="8">
        <v>27515904</v>
      </c>
      <c r="L785" s="7" t="s">
        <v>1898</v>
      </c>
      <c r="M785" s="7" t="s">
        <v>2204</v>
      </c>
      <c r="N785" s="7" t="s">
        <v>2822</v>
      </c>
      <c r="O785" s="7"/>
      <c r="P785" s="13" t="s">
        <v>2823</v>
      </c>
    </row>
    <row r="786" spans="1:16" ht="30" x14ac:dyDescent="0.25">
      <c r="A786" s="7" t="s">
        <v>1958</v>
      </c>
      <c r="B786" s="7" t="str">
        <f>"0776"</f>
        <v>0776</v>
      </c>
      <c r="C786" s="7">
        <v>2020</v>
      </c>
      <c r="D786" s="7" t="s">
        <v>1867</v>
      </c>
      <c r="E786" s="7" t="s">
        <v>1875</v>
      </c>
      <c r="F786" s="7" t="s">
        <v>3064</v>
      </c>
      <c r="G786" s="7" t="s">
        <v>1871</v>
      </c>
      <c r="H786" s="7">
        <v>1085662951</v>
      </c>
      <c r="I786" s="7">
        <v>1</v>
      </c>
      <c r="J786" s="7" t="s">
        <v>3065</v>
      </c>
      <c r="K786" s="8">
        <v>15264000</v>
      </c>
      <c r="L786" s="7" t="s">
        <v>1982</v>
      </c>
      <c r="M786" s="7" t="s">
        <v>2246</v>
      </c>
      <c r="N786" s="7" t="s">
        <v>2822</v>
      </c>
      <c r="O786" s="7"/>
      <c r="P786" s="13" t="s">
        <v>3066</v>
      </c>
    </row>
    <row r="787" spans="1:16" ht="45" x14ac:dyDescent="0.25">
      <c r="A787" s="7" t="s">
        <v>1958</v>
      </c>
      <c r="B787" s="7" t="str">
        <f>"1430"</f>
        <v>1430</v>
      </c>
      <c r="C787" s="7">
        <v>2020</v>
      </c>
      <c r="D787" s="7" t="s">
        <v>1867</v>
      </c>
      <c r="E787" s="7" t="s">
        <v>1868</v>
      </c>
      <c r="F787" s="7" t="s">
        <v>3908</v>
      </c>
      <c r="G787" s="7" t="s">
        <v>1871</v>
      </c>
      <c r="H787" s="7">
        <v>1032440422</v>
      </c>
      <c r="I787" s="7"/>
      <c r="J787" s="7" t="s">
        <v>3909</v>
      </c>
      <c r="K787" s="8">
        <v>12000000</v>
      </c>
      <c r="L787" s="7" t="s">
        <v>3850</v>
      </c>
      <c r="M787" s="7" t="s">
        <v>3767</v>
      </c>
      <c r="N787" s="7" t="s">
        <v>2822</v>
      </c>
      <c r="O787" s="7"/>
      <c r="P787" s="13" t="s">
        <v>3910</v>
      </c>
    </row>
    <row r="788" spans="1:16" ht="30" x14ac:dyDescent="0.25">
      <c r="A788" s="7" t="s">
        <v>1958</v>
      </c>
      <c r="B788" s="7" t="str">
        <f>"1138"</f>
        <v>1138</v>
      </c>
      <c r="C788" s="7">
        <v>2020</v>
      </c>
      <c r="D788" s="7" t="s">
        <v>1867</v>
      </c>
      <c r="E788" s="7" t="s">
        <v>1875</v>
      </c>
      <c r="F788" s="7" t="s">
        <v>3633</v>
      </c>
      <c r="G788" s="7" t="s">
        <v>1871</v>
      </c>
      <c r="H788" s="7">
        <v>1085329889</v>
      </c>
      <c r="I788" s="7">
        <v>4</v>
      </c>
      <c r="J788" s="7" t="s">
        <v>3634</v>
      </c>
      <c r="K788" s="8">
        <v>18550000</v>
      </c>
      <c r="L788" s="7" t="s">
        <v>2284</v>
      </c>
      <c r="M788" s="7" t="s">
        <v>2350</v>
      </c>
      <c r="N788" s="7" t="s">
        <v>2696</v>
      </c>
      <c r="O788" s="7"/>
      <c r="P788" s="13" t="s">
        <v>3635</v>
      </c>
    </row>
    <row r="789" spans="1:16" ht="45" x14ac:dyDescent="0.25">
      <c r="A789" s="7" t="s">
        <v>1958</v>
      </c>
      <c r="B789" s="7" t="str">
        <f>"1432"</f>
        <v>1432</v>
      </c>
      <c r="C789" s="7">
        <v>2020</v>
      </c>
      <c r="D789" s="7" t="s">
        <v>1867</v>
      </c>
      <c r="E789" s="7" t="s">
        <v>1868</v>
      </c>
      <c r="F789" s="7" t="s">
        <v>3914</v>
      </c>
      <c r="G789" s="7" t="s">
        <v>1871</v>
      </c>
      <c r="H789" s="7">
        <v>1084846268</v>
      </c>
      <c r="I789" s="7">
        <v>4</v>
      </c>
      <c r="J789" s="7" t="s">
        <v>3915</v>
      </c>
      <c r="K789" s="8">
        <v>10318464</v>
      </c>
      <c r="L789" s="7" t="s">
        <v>2041</v>
      </c>
      <c r="M789" s="7" t="s">
        <v>3767</v>
      </c>
      <c r="N789" s="7" t="s">
        <v>3702</v>
      </c>
      <c r="O789" s="7"/>
      <c r="P789" s="13" t="s">
        <v>3916</v>
      </c>
    </row>
    <row r="790" spans="1:16" ht="45" x14ac:dyDescent="0.25">
      <c r="A790" s="7" t="s">
        <v>1958</v>
      </c>
      <c r="B790" s="7" t="str">
        <f>"1431"</f>
        <v>1431</v>
      </c>
      <c r="C790" s="7">
        <v>2020</v>
      </c>
      <c r="D790" s="7" t="s">
        <v>1867</v>
      </c>
      <c r="E790" s="7" t="s">
        <v>1868</v>
      </c>
      <c r="F790" s="7" t="s">
        <v>3911</v>
      </c>
      <c r="G790" s="7" t="s">
        <v>1871</v>
      </c>
      <c r="H790" s="7">
        <v>1085314297</v>
      </c>
      <c r="I790" s="7">
        <v>9</v>
      </c>
      <c r="J790" s="7" t="s">
        <v>3912</v>
      </c>
      <c r="K790" s="8">
        <v>10318464</v>
      </c>
      <c r="L790" s="7" t="s">
        <v>3850</v>
      </c>
      <c r="M790" s="7" t="s">
        <v>3875</v>
      </c>
      <c r="N790" s="7" t="s">
        <v>3170</v>
      </c>
      <c r="O790" s="7"/>
      <c r="P790" s="13" t="s">
        <v>3913</v>
      </c>
    </row>
    <row r="791" spans="1:16" ht="30" x14ac:dyDescent="0.25">
      <c r="A791" s="7" t="s">
        <v>1958</v>
      </c>
      <c r="B791" s="7" t="str">
        <f>"0849"</f>
        <v>0849</v>
      </c>
      <c r="C791" s="7">
        <v>2020</v>
      </c>
      <c r="D791" s="7" t="s">
        <v>1867</v>
      </c>
      <c r="E791" s="7" t="s">
        <v>1868</v>
      </c>
      <c r="F791" s="7" t="s">
        <v>3186</v>
      </c>
      <c r="G791" s="7" t="s">
        <v>1871</v>
      </c>
      <c r="H791" s="7">
        <v>98392620</v>
      </c>
      <c r="I791" s="7">
        <v>4</v>
      </c>
      <c r="J791" s="7" t="s">
        <v>3187</v>
      </c>
      <c r="K791" s="8">
        <v>27515904</v>
      </c>
      <c r="L791" s="7" t="s">
        <v>1973</v>
      </c>
      <c r="M791" s="7" t="s">
        <v>2246</v>
      </c>
      <c r="N791" s="7" t="s">
        <v>3188</v>
      </c>
      <c r="O791" s="7"/>
      <c r="P791" s="13" t="s">
        <v>3189</v>
      </c>
    </row>
    <row r="792" spans="1:16" ht="30" x14ac:dyDescent="0.25">
      <c r="A792" s="7" t="s">
        <v>1958</v>
      </c>
      <c r="B792" s="7" t="str">
        <f>"0852"</f>
        <v>0852</v>
      </c>
      <c r="C792" s="7">
        <v>2020</v>
      </c>
      <c r="D792" s="7" t="s">
        <v>1867</v>
      </c>
      <c r="E792" s="7" t="s">
        <v>1868</v>
      </c>
      <c r="F792" s="7" t="s">
        <v>3196</v>
      </c>
      <c r="G792" s="7" t="s">
        <v>1871</v>
      </c>
      <c r="H792" s="7">
        <v>1085661729</v>
      </c>
      <c r="I792" s="7">
        <v>6</v>
      </c>
      <c r="J792" s="7" t="s">
        <v>3197</v>
      </c>
      <c r="K792" s="8">
        <v>27515904</v>
      </c>
      <c r="L792" s="7" t="s">
        <v>2122</v>
      </c>
      <c r="M792" s="7" t="s">
        <v>2306</v>
      </c>
      <c r="N792" s="7" t="s">
        <v>3188</v>
      </c>
      <c r="O792" s="7"/>
      <c r="P792" s="13" t="s">
        <v>3198</v>
      </c>
    </row>
    <row r="793" spans="1:16" ht="30" x14ac:dyDescent="0.25">
      <c r="A793" s="7" t="s">
        <v>1958</v>
      </c>
      <c r="B793" s="7" t="str">
        <f>"1233"</f>
        <v>1233</v>
      </c>
      <c r="C793" s="7">
        <v>2020</v>
      </c>
      <c r="D793" s="7" t="s">
        <v>1867</v>
      </c>
      <c r="E793" s="7" t="s">
        <v>1875</v>
      </c>
      <c r="F793" s="7" t="s">
        <v>3710</v>
      </c>
      <c r="G793" s="7" t="s">
        <v>1871</v>
      </c>
      <c r="H793" s="7">
        <v>12750608</v>
      </c>
      <c r="I793" s="7">
        <v>9</v>
      </c>
      <c r="J793" s="7" t="s">
        <v>3711</v>
      </c>
      <c r="K793" s="8">
        <v>18550000</v>
      </c>
      <c r="L793" s="7" t="s">
        <v>2318</v>
      </c>
      <c r="M793" s="7" t="s">
        <v>3214</v>
      </c>
      <c r="N793" s="7" t="s">
        <v>3188</v>
      </c>
      <c r="O793" s="7"/>
      <c r="P793" s="13" t="s">
        <v>3712</v>
      </c>
    </row>
    <row r="794" spans="1:16" ht="30" x14ac:dyDescent="0.25">
      <c r="A794" s="7" t="s">
        <v>1958</v>
      </c>
      <c r="B794" s="7" t="str">
        <f>"0875"</f>
        <v>0875</v>
      </c>
      <c r="C794" s="7">
        <v>2020</v>
      </c>
      <c r="D794" s="7" t="s">
        <v>1867</v>
      </c>
      <c r="E794" s="7" t="s">
        <v>1875</v>
      </c>
      <c r="F794" s="7" t="s">
        <v>3247</v>
      </c>
      <c r="G794" s="7" t="s">
        <v>1871</v>
      </c>
      <c r="H794" s="7">
        <v>1085273726</v>
      </c>
      <c r="I794" s="7">
        <v>1</v>
      </c>
      <c r="J794" s="7" t="s">
        <v>3248</v>
      </c>
      <c r="K794" s="8">
        <v>15264000</v>
      </c>
      <c r="L794" s="7" t="s">
        <v>2062</v>
      </c>
      <c r="M794" s="7" t="s">
        <v>3106</v>
      </c>
      <c r="N794" s="7" t="s">
        <v>3224</v>
      </c>
      <c r="O794" s="7"/>
      <c r="P794" s="13" t="s">
        <v>3249</v>
      </c>
    </row>
    <row r="795" spans="1:16" ht="45" x14ac:dyDescent="0.25">
      <c r="A795" s="7" t="s">
        <v>1958</v>
      </c>
      <c r="B795" s="7" t="str">
        <f>"1349"</f>
        <v>1349</v>
      </c>
      <c r="C795" s="7">
        <v>2020</v>
      </c>
      <c r="D795" s="7" t="s">
        <v>1867</v>
      </c>
      <c r="E795" s="7" t="s">
        <v>1875</v>
      </c>
      <c r="F795" s="7" t="s">
        <v>3782</v>
      </c>
      <c r="G795" s="7" t="s">
        <v>1871</v>
      </c>
      <c r="H795" s="7">
        <v>12998541</v>
      </c>
      <c r="I795" s="7">
        <v>1</v>
      </c>
      <c r="J795" s="7" t="s">
        <v>3783</v>
      </c>
      <c r="K795" s="8">
        <v>13250000</v>
      </c>
      <c r="L795" s="7" t="s">
        <v>3485</v>
      </c>
      <c r="M795" s="7" t="s">
        <v>3784</v>
      </c>
      <c r="N795" s="7" t="s">
        <v>3224</v>
      </c>
      <c r="O795" s="7" t="s">
        <v>3785</v>
      </c>
      <c r="P795" s="13" t="s">
        <v>3786</v>
      </c>
    </row>
    <row r="796" spans="1:16" ht="30" x14ac:dyDescent="0.25">
      <c r="A796" s="7" t="s">
        <v>1958</v>
      </c>
      <c r="B796" s="7" t="str">
        <f>"0927"</f>
        <v>0927</v>
      </c>
      <c r="C796" s="7">
        <v>2020</v>
      </c>
      <c r="D796" s="7" t="s">
        <v>1867</v>
      </c>
      <c r="E796" s="7" t="s">
        <v>1868</v>
      </c>
      <c r="F796" s="7" t="s">
        <v>3322</v>
      </c>
      <c r="G796" s="7" t="s">
        <v>1871</v>
      </c>
      <c r="H796" s="7">
        <v>98400148</v>
      </c>
      <c r="I796" s="7">
        <v>4</v>
      </c>
      <c r="J796" s="7" t="s">
        <v>3323</v>
      </c>
      <c r="K796" s="8">
        <v>21200000</v>
      </c>
      <c r="L796" s="7" t="s">
        <v>2016</v>
      </c>
      <c r="M796" s="7" t="s">
        <v>2318</v>
      </c>
      <c r="N796" s="7" t="s">
        <v>3279</v>
      </c>
      <c r="O796" s="7"/>
      <c r="P796" s="13" t="s">
        <v>3324</v>
      </c>
    </row>
    <row r="797" spans="1:16" ht="45" x14ac:dyDescent="0.25">
      <c r="A797" s="7" t="s">
        <v>1958</v>
      </c>
      <c r="B797" s="7" t="str">
        <f>"1348"</f>
        <v>1348</v>
      </c>
      <c r="C797" s="7">
        <v>2020</v>
      </c>
      <c r="D797" s="7" t="s">
        <v>1867</v>
      </c>
      <c r="E797" s="7" t="s">
        <v>1875</v>
      </c>
      <c r="F797" s="7" t="s">
        <v>3779</v>
      </c>
      <c r="G797" s="7" t="s">
        <v>1871</v>
      </c>
      <c r="H797" s="7">
        <v>1085661976</v>
      </c>
      <c r="I797" s="7">
        <v>9</v>
      </c>
      <c r="J797" s="7" t="s">
        <v>3780</v>
      </c>
      <c r="K797" s="8">
        <v>13250000</v>
      </c>
      <c r="L797" s="7" t="s">
        <v>3485</v>
      </c>
      <c r="M797" s="7" t="s">
        <v>2373</v>
      </c>
      <c r="N797" s="7" t="s">
        <v>3279</v>
      </c>
      <c r="O797" s="7"/>
      <c r="P797" s="13" t="s">
        <v>3781</v>
      </c>
    </row>
    <row r="798" spans="1:16" ht="30" x14ac:dyDescent="0.25">
      <c r="A798" s="7" t="s">
        <v>1958</v>
      </c>
      <c r="B798" s="7" t="str">
        <f>"0928"</f>
        <v>0928</v>
      </c>
      <c r="C798" s="7">
        <v>2020</v>
      </c>
      <c r="D798" s="7" t="s">
        <v>1867</v>
      </c>
      <c r="E798" s="7" t="s">
        <v>1868</v>
      </c>
      <c r="F798" s="7" t="s">
        <v>3325</v>
      </c>
      <c r="G798" s="7" t="s">
        <v>1871</v>
      </c>
      <c r="H798" s="7">
        <v>1084225415</v>
      </c>
      <c r="I798" s="7">
        <v>6</v>
      </c>
      <c r="J798" s="7" t="s">
        <v>3326</v>
      </c>
      <c r="K798" s="8">
        <v>27515904</v>
      </c>
      <c r="L798" s="7" t="s">
        <v>2016</v>
      </c>
      <c r="M798" s="7" t="s">
        <v>2318</v>
      </c>
      <c r="N798" s="7" t="s">
        <v>3313</v>
      </c>
      <c r="O798" s="7"/>
      <c r="P798" s="13" t="s">
        <v>3327</v>
      </c>
    </row>
    <row r="799" spans="1:16" ht="30" x14ac:dyDescent="0.25">
      <c r="A799" s="7" t="s">
        <v>1958</v>
      </c>
      <c r="B799" s="7" t="str">
        <f>"0982"</f>
        <v>0982</v>
      </c>
      <c r="C799" s="7">
        <v>2020</v>
      </c>
      <c r="D799" s="7" t="s">
        <v>1867</v>
      </c>
      <c r="E799" s="7" t="s">
        <v>1875</v>
      </c>
      <c r="F799" s="7" t="s">
        <v>3380</v>
      </c>
      <c r="G799" s="7" t="s">
        <v>1871</v>
      </c>
      <c r="H799" s="7">
        <v>1085661976</v>
      </c>
      <c r="I799" s="7">
        <v>9</v>
      </c>
      <c r="J799" s="7" t="s">
        <v>3381</v>
      </c>
      <c r="K799" s="8">
        <v>21200000</v>
      </c>
      <c r="L799" s="7" t="s">
        <v>2257</v>
      </c>
      <c r="M799" s="7" t="s">
        <v>2988</v>
      </c>
      <c r="N799" s="7" t="s">
        <v>3337</v>
      </c>
      <c r="O799" s="7"/>
      <c r="P799" s="13" t="s">
        <v>3382</v>
      </c>
    </row>
    <row r="800" spans="1:16" ht="45" x14ac:dyDescent="0.25">
      <c r="A800" s="7" t="s">
        <v>1958</v>
      </c>
      <c r="B800" s="7" t="str">
        <f>"1372"</f>
        <v>1372</v>
      </c>
      <c r="C800" s="7">
        <v>2020</v>
      </c>
      <c r="D800" s="7" t="s">
        <v>1867</v>
      </c>
      <c r="E800" s="7" t="s">
        <v>1868</v>
      </c>
      <c r="F800" s="7" t="s">
        <v>3830</v>
      </c>
      <c r="G800" s="7" t="s">
        <v>1871</v>
      </c>
      <c r="H800" s="7">
        <v>6254330</v>
      </c>
      <c r="I800" s="7">
        <v>8</v>
      </c>
      <c r="J800" s="7" t="s">
        <v>3831</v>
      </c>
      <c r="K800" s="8">
        <v>13250000</v>
      </c>
      <c r="L800" s="7" t="s">
        <v>3760</v>
      </c>
      <c r="M800" s="7" t="s">
        <v>3832</v>
      </c>
      <c r="N800" s="7" t="s">
        <v>3833</v>
      </c>
      <c r="O800" s="7"/>
      <c r="P800" s="13" t="s">
        <v>3834</v>
      </c>
    </row>
    <row r="801" spans="1:16" x14ac:dyDescent="0.25">
      <c r="A801" s="7" t="s">
        <v>1958</v>
      </c>
      <c r="B801" s="7" t="str">
        <f>"1428"</f>
        <v>1428</v>
      </c>
      <c r="C801" s="7">
        <v>2020</v>
      </c>
      <c r="D801" s="7" t="s">
        <v>1867</v>
      </c>
      <c r="E801" s="7" t="s">
        <v>1875</v>
      </c>
      <c r="F801" s="7" t="s">
        <v>3905</v>
      </c>
      <c r="G801" s="7" t="s">
        <v>1871</v>
      </c>
      <c r="H801" s="7">
        <v>1085282426</v>
      </c>
      <c r="I801" s="7">
        <v>3</v>
      </c>
      <c r="J801" s="7" t="s">
        <v>2508</v>
      </c>
      <c r="K801" s="8">
        <v>10600000</v>
      </c>
      <c r="L801" s="7" t="s">
        <v>3850</v>
      </c>
      <c r="M801" s="7" t="s">
        <v>3869</v>
      </c>
      <c r="N801" s="7" t="s">
        <v>3595</v>
      </c>
      <c r="O801" s="7"/>
      <c r="P801" s="13" t="s">
        <v>1993</v>
      </c>
    </row>
    <row r="802" spans="1:16" x14ac:dyDescent="0.25">
      <c r="A802" s="7" t="s">
        <v>1958</v>
      </c>
      <c r="B802" s="7" t="str">
        <f>"1572"</f>
        <v>1572</v>
      </c>
      <c r="C802" s="7">
        <v>2020</v>
      </c>
      <c r="D802" s="7" t="s">
        <v>1867</v>
      </c>
      <c r="E802" s="7" t="s">
        <v>1868</v>
      </c>
      <c r="F802" s="7" t="s">
        <v>4158</v>
      </c>
      <c r="G802" s="7" t="s">
        <v>1871</v>
      </c>
      <c r="H802" s="7">
        <v>87103139</v>
      </c>
      <c r="I802" s="7">
        <v>4</v>
      </c>
      <c r="J802" s="7" t="s">
        <v>1960</v>
      </c>
      <c r="K802" s="8">
        <v>13757952</v>
      </c>
      <c r="L802" s="7" t="s">
        <v>3882</v>
      </c>
      <c r="M802" s="7" t="s">
        <v>4147</v>
      </c>
      <c r="N802" s="7" t="s">
        <v>4150</v>
      </c>
      <c r="O802" s="7"/>
      <c r="P802" s="13" t="s">
        <v>1993</v>
      </c>
    </row>
    <row r="803" spans="1:16" ht="45" x14ac:dyDescent="0.25">
      <c r="A803" s="7" t="s">
        <v>2105</v>
      </c>
      <c r="B803" s="7" t="str">
        <f>"1460"</f>
        <v>1460</v>
      </c>
      <c r="C803" s="7">
        <v>2020</v>
      </c>
      <c r="D803" s="7" t="s">
        <v>1867</v>
      </c>
      <c r="E803" s="7" t="s">
        <v>1875</v>
      </c>
      <c r="F803" s="7" t="s">
        <v>3955</v>
      </c>
      <c r="G803" s="7" t="s">
        <v>1871</v>
      </c>
      <c r="H803" s="7">
        <v>12961402</v>
      </c>
      <c r="I803" s="7">
        <v>4</v>
      </c>
      <c r="J803" s="7" t="s">
        <v>3956</v>
      </c>
      <c r="K803" s="8">
        <v>14486667</v>
      </c>
      <c r="L803" s="7" t="s">
        <v>2064</v>
      </c>
      <c r="M803" s="7" t="s">
        <v>2064</v>
      </c>
      <c r="N803" s="7" t="s">
        <v>1974</v>
      </c>
      <c r="O803" s="7"/>
      <c r="P803" s="13" t="s">
        <v>3957</v>
      </c>
    </row>
    <row r="804" spans="1:16" x14ac:dyDescent="0.25">
      <c r="A804" s="7" t="s">
        <v>2105</v>
      </c>
      <c r="B804" s="7" t="str">
        <f>"1599"</f>
        <v>1599</v>
      </c>
      <c r="C804" s="7">
        <v>2020</v>
      </c>
      <c r="D804" s="7" t="s">
        <v>1867</v>
      </c>
      <c r="E804" s="7" t="s">
        <v>1989</v>
      </c>
      <c r="F804" s="7" t="s">
        <v>4207</v>
      </c>
      <c r="G804" s="7" t="s">
        <v>1871</v>
      </c>
      <c r="H804" s="7">
        <v>16187583</v>
      </c>
      <c r="I804" s="7">
        <v>3</v>
      </c>
      <c r="J804" s="7" t="s">
        <v>4208</v>
      </c>
      <c r="K804" s="8">
        <v>16060000</v>
      </c>
      <c r="L804" s="7" t="s">
        <v>3902</v>
      </c>
      <c r="M804" s="7" t="s">
        <v>3902</v>
      </c>
      <c r="N804" s="7" t="s">
        <v>1974</v>
      </c>
      <c r="O804" s="7"/>
      <c r="P804" s="13" t="s">
        <v>1993</v>
      </c>
    </row>
    <row r="805" spans="1:16" x14ac:dyDescent="0.25">
      <c r="A805" s="7" t="s">
        <v>2105</v>
      </c>
      <c r="B805" s="7" t="str">
        <f>"1642"</f>
        <v>1642</v>
      </c>
      <c r="C805" s="7">
        <v>2020</v>
      </c>
      <c r="D805" s="7" t="s">
        <v>1867</v>
      </c>
      <c r="E805" s="7" t="s">
        <v>1875</v>
      </c>
      <c r="F805" s="7" t="s">
        <v>3955</v>
      </c>
      <c r="G805" s="7" t="s">
        <v>1871</v>
      </c>
      <c r="H805" s="7">
        <v>18154275</v>
      </c>
      <c r="I805" s="7">
        <v>5</v>
      </c>
      <c r="J805" s="7" t="s">
        <v>4243</v>
      </c>
      <c r="K805" s="8">
        <v>14600000</v>
      </c>
      <c r="L805" s="7" t="s">
        <v>1909</v>
      </c>
      <c r="M805" s="7" t="s">
        <v>1915</v>
      </c>
      <c r="N805" s="7" t="s">
        <v>1974</v>
      </c>
      <c r="O805" s="7"/>
      <c r="P805" s="13" t="s">
        <v>1993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3"/>
  <sheetViews>
    <sheetView workbookViewId="0">
      <selection sqref="A1:A1048576"/>
    </sheetView>
  </sheetViews>
  <sheetFormatPr baseColWidth="10" defaultRowHeight="15" customHeight="1" x14ac:dyDescent="0.25"/>
  <cols>
    <col min="2" max="2" width="15" customWidth="1"/>
    <col min="4" max="4" width="32.5703125" customWidth="1"/>
    <col min="6" max="6" width="39.42578125" bestFit="1" customWidth="1"/>
    <col min="7" max="7" width="46.5703125" bestFit="1" customWidth="1"/>
    <col min="8" max="8" width="97.42578125" bestFit="1" customWidth="1"/>
    <col min="9" max="9" width="40.28515625" bestFit="1" customWidth="1"/>
  </cols>
  <sheetData>
    <row r="1" spans="1:9" ht="15" customHeight="1" x14ac:dyDescent="0.25">
      <c r="A1" s="3" t="s">
        <v>211</v>
      </c>
      <c r="B1" s="3" t="s">
        <v>207</v>
      </c>
      <c r="C1" s="3" t="s">
        <v>208</v>
      </c>
      <c r="D1" s="3" t="s">
        <v>209</v>
      </c>
      <c r="E1" s="3" t="s">
        <v>210</v>
      </c>
      <c r="F1" s="3" t="s">
        <v>212</v>
      </c>
      <c r="G1" s="3" t="s">
        <v>213</v>
      </c>
      <c r="H1" s="3" t="s">
        <v>214</v>
      </c>
      <c r="I1" s="3" t="s">
        <v>215</v>
      </c>
    </row>
    <row r="2" spans="1:9" ht="15" customHeight="1" x14ac:dyDescent="0.25">
      <c r="A2" s="3"/>
      <c r="B2" s="3" t="s">
        <v>216</v>
      </c>
      <c r="C2" s="3" t="s">
        <v>24</v>
      </c>
      <c r="D2" s="3" t="s">
        <v>217</v>
      </c>
      <c r="E2" s="3" t="s">
        <v>218</v>
      </c>
      <c r="F2" s="3" t="s">
        <v>219</v>
      </c>
      <c r="G2" s="3"/>
      <c r="H2" s="4" t="s">
        <v>24</v>
      </c>
      <c r="I2" s="3"/>
    </row>
    <row r="3" spans="1:9" ht="15" customHeight="1" x14ac:dyDescent="0.25">
      <c r="A3" s="5">
        <v>27082004</v>
      </c>
      <c r="B3" s="3" t="s">
        <v>220</v>
      </c>
      <c r="C3" s="3" t="s">
        <v>221</v>
      </c>
      <c r="D3" s="3" t="s">
        <v>222</v>
      </c>
      <c r="E3" s="3" t="s">
        <v>223</v>
      </c>
      <c r="F3" s="3" t="s">
        <v>224</v>
      </c>
      <c r="G3" s="4" t="s">
        <v>225</v>
      </c>
      <c r="H3" s="4" t="s">
        <v>10</v>
      </c>
      <c r="I3" s="3"/>
    </row>
    <row r="4" spans="1:9" ht="15" customHeight="1" x14ac:dyDescent="0.25">
      <c r="A4" s="5">
        <v>30744762</v>
      </c>
      <c r="B4" s="3" t="s">
        <v>97</v>
      </c>
      <c r="C4" s="3" t="s">
        <v>226</v>
      </c>
      <c r="D4" s="3" t="s">
        <v>227</v>
      </c>
      <c r="E4" s="3" t="s">
        <v>223</v>
      </c>
      <c r="F4" s="3" t="s">
        <v>228</v>
      </c>
      <c r="G4" s="4" t="s">
        <v>225</v>
      </c>
      <c r="H4" s="4" t="s">
        <v>229</v>
      </c>
      <c r="I4" s="3"/>
    </row>
    <row r="5" spans="1:9" ht="15" customHeight="1" x14ac:dyDescent="0.25">
      <c r="A5" s="5">
        <v>30726404</v>
      </c>
      <c r="B5" s="3" t="s">
        <v>145</v>
      </c>
      <c r="C5" s="3" t="s">
        <v>230</v>
      </c>
      <c r="D5" s="3" t="s">
        <v>231</v>
      </c>
      <c r="E5" s="3" t="s">
        <v>223</v>
      </c>
      <c r="F5" s="3" t="s">
        <v>232</v>
      </c>
      <c r="G5" s="4" t="s">
        <v>11</v>
      </c>
      <c r="H5" s="4" t="s">
        <v>233</v>
      </c>
      <c r="I5" s="3"/>
    </row>
    <row r="6" spans="1:9" ht="15" customHeight="1" x14ac:dyDescent="0.25">
      <c r="A6" s="5">
        <v>30732618</v>
      </c>
      <c r="B6" s="3" t="s">
        <v>51</v>
      </c>
      <c r="C6" s="3" t="s">
        <v>234</v>
      </c>
      <c r="D6" s="3" t="s">
        <v>235</v>
      </c>
      <c r="E6" s="3" t="s">
        <v>223</v>
      </c>
      <c r="F6" s="3" t="s">
        <v>232</v>
      </c>
      <c r="G6" s="4" t="s">
        <v>225</v>
      </c>
      <c r="H6" s="4" t="s">
        <v>236</v>
      </c>
      <c r="I6" s="3" t="s">
        <v>237</v>
      </c>
    </row>
    <row r="7" spans="1:9" ht="15" customHeight="1" x14ac:dyDescent="0.25">
      <c r="A7" s="5">
        <v>30734174</v>
      </c>
      <c r="B7" s="3" t="s">
        <v>202</v>
      </c>
      <c r="C7" s="3" t="s">
        <v>238</v>
      </c>
      <c r="D7" s="3" t="s">
        <v>239</v>
      </c>
      <c r="E7" s="3" t="s">
        <v>223</v>
      </c>
      <c r="F7" s="3" t="s">
        <v>224</v>
      </c>
      <c r="G7" s="4" t="s">
        <v>23</v>
      </c>
      <c r="H7" s="4" t="s">
        <v>240</v>
      </c>
      <c r="I7" s="3"/>
    </row>
    <row r="8" spans="1:9" ht="15" customHeight="1" x14ac:dyDescent="0.25">
      <c r="A8" s="5">
        <v>59818664</v>
      </c>
      <c r="B8" s="3" t="s">
        <v>1</v>
      </c>
      <c r="C8" s="3" t="s">
        <v>241</v>
      </c>
      <c r="D8" s="3" t="s">
        <v>242</v>
      </c>
      <c r="E8" s="3" t="s">
        <v>223</v>
      </c>
      <c r="F8" s="3" t="s">
        <v>243</v>
      </c>
      <c r="G8" s="3" t="s">
        <v>2</v>
      </c>
      <c r="H8" s="4" t="s">
        <v>3</v>
      </c>
      <c r="I8" s="3"/>
    </row>
    <row r="9" spans="1:9" ht="15" customHeight="1" x14ac:dyDescent="0.25">
      <c r="A9" s="3"/>
      <c r="B9" s="3" t="s">
        <v>244</v>
      </c>
      <c r="C9" s="3" t="s">
        <v>245</v>
      </c>
      <c r="D9" s="3" t="s">
        <v>246</v>
      </c>
      <c r="E9" s="3" t="s">
        <v>223</v>
      </c>
      <c r="F9" s="3" t="s">
        <v>219</v>
      </c>
      <c r="G9" s="3"/>
      <c r="H9" s="4" t="s">
        <v>247</v>
      </c>
      <c r="I9" s="3"/>
    </row>
    <row r="10" spans="1:9" ht="15" customHeight="1" x14ac:dyDescent="0.25">
      <c r="A10" s="3"/>
      <c r="B10" s="3" t="s">
        <v>248</v>
      </c>
      <c r="C10" s="3" t="s">
        <v>249</v>
      </c>
      <c r="D10" s="3" t="s">
        <v>250</v>
      </c>
      <c r="E10" s="3" t="s">
        <v>223</v>
      </c>
      <c r="F10" s="3" t="s">
        <v>219</v>
      </c>
      <c r="G10" s="3"/>
      <c r="H10" s="4" t="s">
        <v>15</v>
      </c>
      <c r="I10" s="3"/>
    </row>
    <row r="11" spans="1:9" ht="15" customHeight="1" x14ac:dyDescent="0.25">
      <c r="A11" s="3"/>
      <c r="B11" s="3" t="s">
        <v>252</v>
      </c>
      <c r="C11" s="3" t="s">
        <v>253</v>
      </c>
      <c r="D11" s="3" t="s">
        <v>254</v>
      </c>
      <c r="E11" s="3" t="s">
        <v>223</v>
      </c>
      <c r="F11" s="3" t="s">
        <v>219</v>
      </c>
      <c r="G11" s="3"/>
      <c r="H11" s="4" t="s">
        <v>255</v>
      </c>
      <c r="I11" s="3"/>
    </row>
    <row r="12" spans="1:9" ht="15" customHeight="1" x14ac:dyDescent="0.25">
      <c r="A12" s="5">
        <v>36954308</v>
      </c>
      <c r="B12" s="3" t="s">
        <v>256</v>
      </c>
      <c r="C12" s="3" t="s">
        <v>257</v>
      </c>
      <c r="D12" s="3" t="s">
        <v>258</v>
      </c>
      <c r="E12" s="3" t="s">
        <v>223</v>
      </c>
      <c r="F12" s="3" t="s">
        <v>259</v>
      </c>
      <c r="G12" s="3" t="s">
        <v>260</v>
      </c>
      <c r="H12" s="4" t="s">
        <v>46</v>
      </c>
      <c r="I12" s="3"/>
    </row>
    <row r="13" spans="1:9" ht="15" customHeight="1" x14ac:dyDescent="0.25">
      <c r="A13" s="5">
        <v>30723630</v>
      </c>
      <c r="B13" s="3" t="s">
        <v>126</v>
      </c>
      <c r="C13" s="3" t="s">
        <v>261</v>
      </c>
      <c r="D13" s="3" t="s">
        <v>262</v>
      </c>
      <c r="E13" s="3" t="s">
        <v>223</v>
      </c>
      <c r="F13" s="3" t="s">
        <v>232</v>
      </c>
      <c r="G13" s="4" t="s">
        <v>11</v>
      </c>
      <c r="H13" s="4" t="s">
        <v>263</v>
      </c>
      <c r="I13" s="3"/>
    </row>
    <row r="14" spans="1:9" ht="15" customHeight="1" x14ac:dyDescent="0.25">
      <c r="A14" s="5">
        <v>5207307</v>
      </c>
      <c r="B14" s="3" t="s">
        <v>264</v>
      </c>
      <c r="C14" s="3" t="s">
        <v>265</v>
      </c>
      <c r="D14" s="3" t="s">
        <v>266</v>
      </c>
      <c r="E14" s="3" t="s">
        <v>223</v>
      </c>
      <c r="F14" s="3" t="s">
        <v>259</v>
      </c>
      <c r="G14" s="3" t="s">
        <v>260</v>
      </c>
      <c r="H14" s="4" t="s">
        <v>236</v>
      </c>
      <c r="I14" s="3"/>
    </row>
    <row r="15" spans="1:9" ht="15" customHeight="1" x14ac:dyDescent="0.25">
      <c r="A15" s="5">
        <v>1085317843</v>
      </c>
      <c r="B15" s="3" t="s">
        <v>267</v>
      </c>
      <c r="C15" s="3" t="s">
        <v>268</v>
      </c>
      <c r="D15" s="3" t="s">
        <v>269</v>
      </c>
      <c r="E15" s="3" t="s">
        <v>223</v>
      </c>
      <c r="F15" s="3" t="s">
        <v>260</v>
      </c>
      <c r="G15" s="3" t="s">
        <v>259</v>
      </c>
      <c r="H15" s="4" t="s">
        <v>270</v>
      </c>
      <c r="I15" s="3"/>
    </row>
    <row r="16" spans="1:9" ht="15" customHeight="1" x14ac:dyDescent="0.25">
      <c r="A16" s="5">
        <v>1085296964</v>
      </c>
      <c r="B16" s="3" t="s">
        <v>267</v>
      </c>
      <c r="C16" s="3" t="s">
        <v>271</v>
      </c>
      <c r="D16" s="3" t="s">
        <v>272</v>
      </c>
      <c r="E16" s="3" t="s">
        <v>223</v>
      </c>
      <c r="F16" s="3" t="s">
        <v>259</v>
      </c>
      <c r="G16" s="3" t="s">
        <v>260</v>
      </c>
      <c r="H16" s="4" t="s">
        <v>44</v>
      </c>
      <c r="I16" s="3"/>
    </row>
    <row r="17" spans="1:9" ht="15" customHeight="1" x14ac:dyDescent="0.25">
      <c r="A17" s="5">
        <v>27082130</v>
      </c>
      <c r="B17" s="3" t="s">
        <v>20</v>
      </c>
      <c r="C17" s="3" t="s">
        <v>273</v>
      </c>
      <c r="D17" s="3" t="s">
        <v>274</v>
      </c>
      <c r="E17" s="3" t="s">
        <v>223</v>
      </c>
      <c r="F17" s="3" t="s">
        <v>243</v>
      </c>
      <c r="G17" s="3" t="s">
        <v>2</v>
      </c>
      <c r="H17" s="4" t="s">
        <v>3</v>
      </c>
      <c r="I17" s="3"/>
    </row>
    <row r="18" spans="1:9" ht="15" customHeight="1" x14ac:dyDescent="0.25">
      <c r="A18" s="5">
        <v>19310248</v>
      </c>
      <c r="B18" s="3" t="s">
        <v>275</v>
      </c>
      <c r="C18" s="3" t="s">
        <v>276</v>
      </c>
      <c r="D18" s="3" t="s">
        <v>277</v>
      </c>
      <c r="E18" s="3" t="s">
        <v>223</v>
      </c>
      <c r="F18" s="3" t="s">
        <v>224</v>
      </c>
      <c r="G18" s="4" t="s">
        <v>6</v>
      </c>
      <c r="H18" s="4" t="s">
        <v>46</v>
      </c>
      <c r="I18" s="3"/>
    </row>
    <row r="19" spans="1:9" ht="15" customHeight="1" x14ac:dyDescent="0.25">
      <c r="A19" s="5">
        <v>1085305167</v>
      </c>
      <c r="B19" s="3" t="s">
        <v>278</v>
      </c>
      <c r="C19" s="3" t="s">
        <v>279</v>
      </c>
      <c r="D19" s="3" t="s">
        <v>280</v>
      </c>
      <c r="E19" s="3" t="s">
        <v>223</v>
      </c>
      <c r="F19" s="3" t="s">
        <v>259</v>
      </c>
      <c r="G19" s="3" t="s">
        <v>260</v>
      </c>
      <c r="H19" s="4" t="s">
        <v>281</v>
      </c>
      <c r="I19" s="3"/>
    </row>
    <row r="20" spans="1:9" ht="15" customHeight="1" x14ac:dyDescent="0.25">
      <c r="A20" s="5">
        <v>1085905990</v>
      </c>
      <c r="B20" s="3" t="s">
        <v>136</v>
      </c>
      <c r="C20" s="3" t="s">
        <v>282</v>
      </c>
      <c r="D20" s="3" t="s">
        <v>283</v>
      </c>
      <c r="E20" s="3" t="s">
        <v>223</v>
      </c>
      <c r="F20" s="3" t="s">
        <v>243</v>
      </c>
      <c r="G20" s="3" t="s">
        <v>35</v>
      </c>
      <c r="H20" s="4" t="s">
        <v>3</v>
      </c>
      <c r="I20" s="3"/>
    </row>
    <row r="21" spans="1:9" ht="15" customHeight="1" x14ac:dyDescent="0.25">
      <c r="A21" s="5">
        <v>31880395</v>
      </c>
      <c r="B21" s="3" t="s">
        <v>110</v>
      </c>
      <c r="C21" s="3" t="s">
        <v>284</v>
      </c>
      <c r="D21" s="3" t="s">
        <v>285</v>
      </c>
      <c r="E21" s="3" t="s">
        <v>223</v>
      </c>
      <c r="F21" s="3" t="s">
        <v>228</v>
      </c>
      <c r="G21" s="4" t="s">
        <v>225</v>
      </c>
      <c r="H21" s="4" t="s">
        <v>10</v>
      </c>
      <c r="I21" s="3"/>
    </row>
    <row r="22" spans="1:9" ht="15" customHeight="1" x14ac:dyDescent="0.25">
      <c r="A22" s="5">
        <v>27088121</v>
      </c>
      <c r="B22" s="3" t="s">
        <v>286</v>
      </c>
      <c r="C22" s="3" t="s">
        <v>287</v>
      </c>
      <c r="D22" s="3" t="s">
        <v>288</v>
      </c>
      <c r="E22" s="3" t="s">
        <v>218</v>
      </c>
      <c r="F22" s="3" t="s">
        <v>259</v>
      </c>
      <c r="G22" s="3" t="s">
        <v>260</v>
      </c>
      <c r="H22" s="4" t="s">
        <v>289</v>
      </c>
      <c r="I22" s="3"/>
    </row>
    <row r="23" spans="1:9" ht="15" customHeight="1" x14ac:dyDescent="0.25">
      <c r="A23" s="5">
        <v>98136678</v>
      </c>
      <c r="B23" s="3" t="s">
        <v>290</v>
      </c>
      <c r="C23" s="3" t="s">
        <v>291</v>
      </c>
      <c r="D23" s="3" t="s">
        <v>292</v>
      </c>
      <c r="E23" s="3" t="s">
        <v>223</v>
      </c>
      <c r="F23" s="3" t="s">
        <v>259</v>
      </c>
      <c r="G23" s="3" t="s">
        <v>260</v>
      </c>
      <c r="H23" s="4" t="s">
        <v>46</v>
      </c>
      <c r="I23" s="3"/>
    </row>
    <row r="24" spans="1:9" ht="15" customHeight="1" x14ac:dyDescent="0.25">
      <c r="A24" s="5">
        <v>12983386</v>
      </c>
      <c r="B24" s="3" t="s">
        <v>290</v>
      </c>
      <c r="C24" s="3" t="s">
        <v>293</v>
      </c>
      <c r="D24" s="3" t="s">
        <v>294</v>
      </c>
      <c r="E24" s="3" t="s">
        <v>223</v>
      </c>
      <c r="F24" s="3" t="s">
        <v>224</v>
      </c>
      <c r="G24" s="4" t="s">
        <v>6</v>
      </c>
      <c r="H24" s="4" t="s">
        <v>295</v>
      </c>
      <c r="I24" s="3"/>
    </row>
    <row r="25" spans="1:9" ht="15" customHeight="1" x14ac:dyDescent="0.25">
      <c r="A25" s="5">
        <v>12975463</v>
      </c>
      <c r="B25" s="3" t="s">
        <v>57</v>
      </c>
      <c r="C25" s="3" t="s">
        <v>296</v>
      </c>
      <c r="D25" s="3" t="s">
        <v>297</v>
      </c>
      <c r="E25" s="3" t="s">
        <v>223</v>
      </c>
      <c r="F25" s="3" t="s">
        <v>224</v>
      </c>
      <c r="G25" s="4" t="s">
        <v>6</v>
      </c>
      <c r="H25" s="4" t="s">
        <v>240</v>
      </c>
      <c r="I25" s="3"/>
    </row>
    <row r="26" spans="1:9" ht="15" customHeight="1" x14ac:dyDescent="0.25">
      <c r="A26" s="5">
        <v>12746704</v>
      </c>
      <c r="B26" s="3" t="s">
        <v>70</v>
      </c>
      <c r="C26" s="3" t="s">
        <v>298</v>
      </c>
      <c r="D26" s="3" t="s">
        <v>299</v>
      </c>
      <c r="E26" s="3" t="s">
        <v>223</v>
      </c>
      <c r="F26" s="3" t="s">
        <v>243</v>
      </c>
      <c r="G26" s="3" t="s">
        <v>54</v>
      </c>
      <c r="H26" s="4" t="s">
        <v>24</v>
      </c>
      <c r="I26" s="3"/>
    </row>
    <row r="27" spans="1:9" ht="15" customHeight="1" x14ac:dyDescent="0.25">
      <c r="A27" s="5">
        <v>5261669</v>
      </c>
      <c r="B27" s="3" t="s">
        <v>195</v>
      </c>
      <c r="C27" s="3" t="s">
        <v>300</v>
      </c>
      <c r="D27" s="3" t="s">
        <v>301</v>
      </c>
      <c r="E27" s="3" t="s">
        <v>223</v>
      </c>
      <c r="F27" s="3" t="s">
        <v>224</v>
      </c>
      <c r="G27" s="4" t="s">
        <v>6</v>
      </c>
      <c r="H27" s="4" t="s">
        <v>166</v>
      </c>
      <c r="I27" s="3"/>
    </row>
    <row r="28" spans="1:9" ht="15" customHeight="1" x14ac:dyDescent="0.25">
      <c r="A28" s="5">
        <v>30726908</v>
      </c>
      <c r="B28" s="3" t="s">
        <v>5</v>
      </c>
      <c r="C28" s="3" t="s">
        <v>302</v>
      </c>
      <c r="D28" s="3" t="s">
        <v>303</v>
      </c>
      <c r="E28" s="3" t="s">
        <v>223</v>
      </c>
      <c r="F28" s="3" t="s">
        <v>224</v>
      </c>
      <c r="G28" s="4" t="s">
        <v>6</v>
      </c>
      <c r="H28" s="4" t="s">
        <v>304</v>
      </c>
      <c r="I28" s="3"/>
    </row>
    <row r="29" spans="1:9" ht="15" customHeight="1" x14ac:dyDescent="0.25">
      <c r="A29" s="3"/>
      <c r="B29" s="3" t="s">
        <v>305</v>
      </c>
      <c r="C29" s="3" t="s">
        <v>306</v>
      </c>
      <c r="D29" s="3" t="s">
        <v>307</v>
      </c>
      <c r="E29" s="3" t="s">
        <v>223</v>
      </c>
      <c r="F29" s="3" t="s">
        <v>219</v>
      </c>
      <c r="G29" s="3"/>
      <c r="H29" s="4" t="s">
        <v>308</v>
      </c>
      <c r="I29" s="3"/>
    </row>
    <row r="30" spans="1:9" ht="15" customHeight="1" x14ac:dyDescent="0.25">
      <c r="A30" s="5">
        <v>59815115</v>
      </c>
      <c r="B30" s="3" t="s">
        <v>309</v>
      </c>
      <c r="C30" s="3" t="s">
        <v>310</v>
      </c>
      <c r="D30" s="3" t="s">
        <v>311</v>
      </c>
      <c r="E30" s="3" t="s">
        <v>223</v>
      </c>
      <c r="F30" s="3" t="s">
        <v>259</v>
      </c>
      <c r="G30" s="3" t="s">
        <v>260</v>
      </c>
      <c r="H30" s="4" t="s">
        <v>312</v>
      </c>
      <c r="I30" s="3"/>
    </row>
    <row r="31" spans="1:9" ht="15" customHeight="1" x14ac:dyDescent="0.25">
      <c r="A31" s="5">
        <v>27108730</v>
      </c>
      <c r="B31" s="3" t="s">
        <v>313</v>
      </c>
      <c r="C31" s="3" t="s">
        <v>314</v>
      </c>
      <c r="D31" s="3" t="s">
        <v>315</v>
      </c>
      <c r="E31" s="3" t="s">
        <v>223</v>
      </c>
      <c r="F31" s="3" t="s">
        <v>224</v>
      </c>
      <c r="G31" s="4" t="s">
        <v>225</v>
      </c>
      <c r="H31" s="4" t="s">
        <v>10</v>
      </c>
      <c r="I31" s="3"/>
    </row>
    <row r="32" spans="1:9" ht="15" customHeight="1" x14ac:dyDescent="0.25">
      <c r="A32" s="5">
        <v>30739931</v>
      </c>
      <c r="B32" s="3" t="s">
        <v>198</v>
      </c>
      <c r="C32" s="3" t="s">
        <v>316</v>
      </c>
      <c r="D32" s="3" t="s">
        <v>317</v>
      </c>
      <c r="E32" s="3" t="s">
        <v>223</v>
      </c>
      <c r="F32" s="3" t="s">
        <v>224</v>
      </c>
      <c r="G32" s="4" t="s">
        <v>225</v>
      </c>
      <c r="H32" s="4" t="s">
        <v>46</v>
      </c>
      <c r="I32" s="3"/>
    </row>
    <row r="33" spans="1:9" ht="15" customHeight="1" x14ac:dyDescent="0.25">
      <c r="A33" s="5">
        <v>36753057</v>
      </c>
      <c r="B33" s="3" t="s">
        <v>68</v>
      </c>
      <c r="C33" s="3" t="s">
        <v>318</v>
      </c>
      <c r="D33" s="3" t="s">
        <v>319</v>
      </c>
      <c r="E33" s="3" t="s">
        <v>223</v>
      </c>
      <c r="F33" s="3" t="s">
        <v>224</v>
      </c>
      <c r="G33" s="4" t="s">
        <v>225</v>
      </c>
      <c r="H33" s="4" t="s">
        <v>320</v>
      </c>
      <c r="I33" s="3"/>
    </row>
    <row r="34" spans="1:9" ht="15" customHeight="1" x14ac:dyDescent="0.25">
      <c r="A34" s="5">
        <v>59311792</v>
      </c>
      <c r="B34" s="3" t="s">
        <v>29</v>
      </c>
      <c r="C34" s="3" t="s">
        <v>321</v>
      </c>
      <c r="D34" s="3" t="s">
        <v>322</v>
      </c>
      <c r="E34" s="3" t="s">
        <v>223</v>
      </c>
      <c r="F34" s="3" t="s">
        <v>259</v>
      </c>
      <c r="G34" s="3" t="s">
        <v>260</v>
      </c>
      <c r="H34" s="4" t="s">
        <v>323</v>
      </c>
      <c r="I34" s="3"/>
    </row>
    <row r="35" spans="1:9" ht="15" customHeight="1" x14ac:dyDescent="0.25">
      <c r="A35" s="5">
        <v>30728808</v>
      </c>
      <c r="B35" s="3" t="s">
        <v>29</v>
      </c>
      <c r="C35" s="3" t="s">
        <v>324</v>
      </c>
      <c r="D35" s="3" t="s">
        <v>325</v>
      </c>
      <c r="E35" s="3" t="s">
        <v>223</v>
      </c>
      <c r="F35" s="3" t="s">
        <v>224</v>
      </c>
      <c r="G35" s="4" t="s">
        <v>11</v>
      </c>
      <c r="H35" s="4" t="s">
        <v>56</v>
      </c>
      <c r="I35" s="3"/>
    </row>
    <row r="36" spans="1:9" ht="15" customHeight="1" x14ac:dyDescent="0.25">
      <c r="A36" s="5">
        <v>59815584</v>
      </c>
      <c r="B36" s="3" t="s">
        <v>29</v>
      </c>
      <c r="C36" s="3" t="s">
        <v>326</v>
      </c>
      <c r="D36" s="3" t="s">
        <v>327</v>
      </c>
      <c r="E36" s="3" t="s">
        <v>223</v>
      </c>
      <c r="F36" s="3" t="s">
        <v>243</v>
      </c>
      <c r="G36" s="4" t="s">
        <v>102</v>
      </c>
      <c r="H36" s="4" t="s">
        <v>44</v>
      </c>
      <c r="I36" s="3"/>
    </row>
    <row r="37" spans="1:9" ht="15" customHeight="1" x14ac:dyDescent="0.25">
      <c r="A37" s="5">
        <v>27091652</v>
      </c>
      <c r="B37" s="3" t="s">
        <v>328</v>
      </c>
      <c r="C37" s="3" t="s">
        <v>329</v>
      </c>
      <c r="D37" s="3" t="s">
        <v>330</v>
      </c>
      <c r="E37" s="3" t="s">
        <v>223</v>
      </c>
      <c r="F37" s="3" t="s">
        <v>259</v>
      </c>
      <c r="G37" s="3" t="s">
        <v>260</v>
      </c>
      <c r="H37" s="4" t="s">
        <v>331</v>
      </c>
      <c r="I37" s="3"/>
    </row>
    <row r="38" spans="1:9" ht="15" customHeight="1" x14ac:dyDescent="0.25">
      <c r="A38" s="5" t="s">
        <v>334</v>
      </c>
      <c r="B38" s="3" t="s">
        <v>328</v>
      </c>
      <c r="C38" s="3" t="s">
        <v>332</v>
      </c>
      <c r="D38" s="3" t="s">
        <v>333</v>
      </c>
      <c r="E38" s="3" t="s">
        <v>223</v>
      </c>
      <c r="F38" s="3" t="s">
        <v>259</v>
      </c>
      <c r="G38" s="3" t="s">
        <v>260</v>
      </c>
      <c r="H38" s="4" t="s">
        <v>335</v>
      </c>
      <c r="I38" s="3"/>
    </row>
    <row r="39" spans="1:9" ht="15" customHeight="1" x14ac:dyDescent="0.25">
      <c r="A39" s="5">
        <v>1116253921</v>
      </c>
      <c r="B39" s="3" t="s">
        <v>336</v>
      </c>
      <c r="C39" s="3" t="s">
        <v>337</v>
      </c>
      <c r="D39" s="3" t="s">
        <v>338</v>
      </c>
      <c r="E39" s="3" t="s">
        <v>223</v>
      </c>
      <c r="F39" s="3" t="s">
        <v>259</v>
      </c>
      <c r="G39" s="3" t="s">
        <v>260</v>
      </c>
      <c r="H39" s="4" t="s">
        <v>339</v>
      </c>
      <c r="I39" s="3"/>
    </row>
    <row r="40" spans="1:9" ht="15" customHeight="1" x14ac:dyDescent="0.25">
      <c r="A40" s="5">
        <v>27094332</v>
      </c>
      <c r="B40" s="3" t="s">
        <v>340</v>
      </c>
      <c r="C40" s="3" t="s">
        <v>341</v>
      </c>
      <c r="D40" s="3" t="s">
        <v>342</v>
      </c>
      <c r="E40" s="3" t="s">
        <v>223</v>
      </c>
      <c r="F40" s="3" t="s">
        <v>259</v>
      </c>
      <c r="G40" s="3" t="s">
        <v>260</v>
      </c>
      <c r="H40" s="4" t="s">
        <v>46</v>
      </c>
      <c r="I40" s="3"/>
    </row>
    <row r="41" spans="1:9" ht="15" customHeight="1" x14ac:dyDescent="0.25">
      <c r="A41" s="5">
        <v>59831133</v>
      </c>
      <c r="B41" s="3" t="s">
        <v>343</v>
      </c>
      <c r="C41" s="3" t="s">
        <v>344</v>
      </c>
      <c r="D41" s="3" t="s">
        <v>345</v>
      </c>
      <c r="E41" s="3" t="s">
        <v>223</v>
      </c>
      <c r="F41" s="3" t="s">
        <v>259</v>
      </c>
      <c r="G41" s="3" t="s">
        <v>260</v>
      </c>
      <c r="H41" s="4" t="s">
        <v>270</v>
      </c>
      <c r="I41" s="3"/>
    </row>
    <row r="42" spans="1:9" ht="15" customHeight="1" x14ac:dyDescent="0.25">
      <c r="A42" s="5">
        <v>27094128</v>
      </c>
      <c r="B42" s="3" t="s">
        <v>343</v>
      </c>
      <c r="C42" s="3" t="s">
        <v>346</v>
      </c>
      <c r="D42" s="3" t="s">
        <v>347</v>
      </c>
      <c r="E42" s="3" t="s">
        <v>223</v>
      </c>
      <c r="F42" s="3" t="s">
        <v>259</v>
      </c>
      <c r="G42" s="3" t="s">
        <v>260</v>
      </c>
      <c r="H42" s="4" t="s">
        <v>348</v>
      </c>
      <c r="I42" s="3"/>
    </row>
    <row r="43" spans="1:9" ht="15" customHeight="1" x14ac:dyDescent="0.25">
      <c r="A43" s="5">
        <v>1098715221</v>
      </c>
      <c r="B43" s="3" t="s">
        <v>112</v>
      </c>
      <c r="C43" s="3" t="s">
        <v>349</v>
      </c>
      <c r="D43" s="3" t="s">
        <v>350</v>
      </c>
      <c r="E43" s="3" t="s">
        <v>223</v>
      </c>
      <c r="F43" s="3" t="s">
        <v>228</v>
      </c>
      <c r="G43" s="4" t="s">
        <v>6</v>
      </c>
      <c r="H43" s="4" t="s">
        <v>44</v>
      </c>
      <c r="I43" s="3"/>
    </row>
    <row r="44" spans="1:9" ht="15" customHeight="1" x14ac:dyDescent="0.25">
      <c r="A44" s="5">
        <v>59833169</v>
      </c>
      <c r="B44" s="3" t="s">
        <v>351</v>
      </c>
      <c r="C44" s="3" t="s">
        <v>352</v>
      </c>
      <c r="D44" s="3" t="s">
        <v>353</v>
      </c>
      <c r="E44" s="3" t="s">
        <v>223</v>
      </c>
      <c r="F44" s="3" t="s">
        <v>224</v>
      </c>
      <c r="G44" s="4" t="s">
        <v>225</v>
      </c>
      <c r="H44" s="4" t="s">
        <v>10</v>
      </c>
      <c r="I44" s="3"/>
    </row>
    <row r="45" spans="1:9" ht="15" customHeight="1" x14ac:dyDescent="0.25">
      <c r="A45" s="5">
        <v>37120842</v>
      </c>
      <c r="B45" s="3" t="s">
        <v>354</v>
      </c>
      <c r="C45" s="3" t="s">
        <v>355</v>
      </c>
      <c r="D45" s="3" t="s">
        <v>356</v>
      </c>
      <c r="E45" s="3" t="s">
        <v>223</v>
      </c>
      <c r="F45" s="3" t="s">
        <v>259</v>
      </c>
      <c r="G45" s="3" t="s">
        <v>260</v>
      </c>
      <c r="H45" s="4" t="s">
        <v>357</v>
      </c>
      <c r="I45" s="3"/>
    </row>
    <row r="46" spans="1:9" ht="15" customHeight="1" x14ac:dyDescent="0.25">
      <c r="A46" s="5">
        <v>12751257</v>
      </c>
      <c r="B46" s="3" t="s">
        <v>358</v>
      </c>
      <c r="C46" s="3" t="s">
        <v>359</v>
      </c>
      <c r="D46" s="3" t="s">
        <v>360</v>
      </c>
      <c r="E46" s="3" t="s">
        <v>223</v>
      </c>
      <c r="F46" s="3" t="s">
        <v>259</v>
      </c>
      <c r="G46" s="3" t="s">
        <v>260</v>
      </c>
      <c r="H46" s="4" t="s">
        <v>361</v>
      </c>
      <c r="I46" s="3"/>
    </row>
    <row r="47" spans="1:9" ht="15" customHeight="1" x14ac:dyDescent="0.25">
      <c r="A47" s="5">
        <v>1085906782</v>
      </c>
      <c r="B47" s="3" t="s">
        <v>362</v>
      </c>
      <c r="C47" s="3" t="s">
        <v>363</v>
      </c>
      <c r="D47" s="3" t="s">
        <v>364</v>
      </c>
      <c r="E47" s="3" t="s">
        <v>223</v>
      </c>
      <c r="F47" s="3" t="s">
        <v>259</v>
      </c>
      <c r="G47" s="3" t="s">
        <v>260</v>
      </c>
      <c r="H47" s="4" t="s">
        <v>365</v>
      </c>
      <c r="I47" s="3"/>
    </row>
    <row r="48" spans="1:9" ht="15" customHeight="1" x14ac:dyDescent="0.25">
      <c r="A48" s="5">
        <v>1085344692</v>
      </c>
      <c r="B48" s="3" t="s">
        <v>366</v>
      </c>
      <c r="C48" s="3" t="s">
        <v>367</v>
      </c>
      <c r="D48" s="3" t="s">
        <v>368</v>
      </c>
      <c r="E48" s="3" t="s">
        <v>223</v>
      </c>
      <c r="F48" s="3" t="s">
        <v>259</v>
      </c>
      <c r="G48" s="3" t="s">
        <v>260</v>
      </c>
      <c r="H48" s="4" t="s">
        <v>46</v>
      </c>
      <c r="I48" s="3"/>
    </row>
    <row r="49" spans="1:9" ht="15" customHeight="1" x14ac:dyDescent="0.25">
      <c r="A49" s="5">
        <v>98394911</v>
      </c>
      <c r="B49" s="3" t="s">
        <v>369</v>
      </c>
      <c r="C49" s="3" t="s">
        <v>66</v>
      </c>
      <c r="D49" s="3" t="s">
        <v>370</v>
      </c>
      <c r="E49" s="3" t="s">
        <v>223</v>
      </c>
      <c r="F49" s="3" t="s">
        <v>228</v>
      </c>
      <c r="G49" s="4" t="s">
        <v>6</v>
      </c>
      <c r="H49" s="4" t="s">
        <v>10</v>
      </c>
      <c r="I49" s="3"/>
    </row>
    <row r="50" spans="1:9" ht="15" customHeight="1" x14ac:dyDescent="0.25">
      <c r="A50" s="5">
        <v>1085661729</v>
      </c>
      <c r="B50" s="3" t="s">
        <v>371</v>
      </c>
      <c r="C50" s="3" t="s">
        <v>372</v>
      </c>
      <c r="D50" s="3" t="s">
        <v>373</v>
      </c>
      <c r="E50" s="3" t="s">
        <v>223</v>
      </c>
      <c r="F50" s="3" t="s">
        <v>259</v>
      </c>
      <c r="G50" s="3" t="s">
        <v>260</v>
      </c>
      <c r="H50" s="4" t="s">
        <v>320</v>
      </c>
      <c r="I50" s="3"/>
    </row>
    <row r="51" spans="1:9" ht="15" customHeight="1" x14ac:dyDescent="0.25">
      <c r="A51" s="5">
        <v>1085251014</v>
      </c>
      <c r="B51" s="3" t="s">
        <v>374</v>
      </c>
      <c r="C51" s="3" t="s">
        <v>375</v>
      </c>
      <c r="D51" s="3" t="s">
        <v>376</v>
      </c>
      <c r="E51" s="3" t="s">
        <v>223</v>
      </c>
      <c r="F51" s="3" t="s">
        <v>259</v>
      </c>
      <c r="G51" s="3" t="s">
        <v>260</v>
      </c>
      <c r="H51" s="4" t="s">
        <v>377</v>
      </c>
      <c r="I51" s="3"/>
    </row>
    <row r="52" spans="1:9" ht="15" customHeight="1" x14ac:dyDescent="0.25">
      <c r="A52" s="5">
        <v>37088034</v>
      </c>
      <c r="B52" s="3" t="s">
        <v>378</v>
      </c>
      <c r="C52" s="3" t="s">
        <v>379</v>
      </c>
      <c r="D52" s="3" t="s">
        <v>380</v>
      </c>
      <c r="E52" s="3" t="s">
        <v>223</v>
      </c>
      <c r="F52" s="3" t="s">
        <v>259</v>
      </c>
      <c r="G52" s="3" t="s">
        <v>260</v>
      </c>
      <c r="H52" s="4" t="s">
        <v>87</v>
      </c>
      <c r="I52" s="3"/>
    </row>
    <row r="53" spans="1:9" ht="15" customHeight="1" x14ac:dyDescent="0.25">
      <c r="A53" s="5">
        <v>1085661976</v>
      </c>
      <c r="B53" s="3" t="s">
        <v>381</v>
      </c>
      <c r="C53" s="3" t="s">
        <v>382</v>
      </c>
      <c r="D53" s="3" t="s">
        <v>383</v>
      </c>
      <c r="E53" s="3" t="s">
        <v>223</v>
      </c>
      <c r="F53" s="3" t="s">
        <v>259</v>
      </c>
      <c r="G53" s="3" t="s">
        <v>260</v>
      </c>
      <c r="H53" s="4" t="s">
        <v>320</v>
      </c>
      <c r="I53" s="3"/>
    </row>
    <row r="54" spans="1:9" ht="15" customHeight="1" x14ac:dyDescent="0.25">
      <c r="A54" s="5">
        <v>59310295</v>
      </c>
      <c r="B54" s="3" t="s">
        <v>384</v>
      </c>
      <c r="C54" s="3" t="s">
        <v>385</v>
      </c>
      <c r="D54" s="3" t="s">
        <v>386</v>
      </c>
      <c r="E54" s="3" t="s">
        <v>223</v>
      </c>
      <c r="F54" s="3" t="s">
        <v>259</v>
      </c>
      <c r="G54" s="3" t="s">
        <v>260</v>
      </c>
      <c r="H54" s="4" t="s">
        <v>236</v>
      </c>
      <c r="I54" s="3"/>
    </row>
    <row r="55" spans="1:9" ht="15" customHeight="1" x14ac:dyDescent="0.25">
      <c r="A55" s="5">
        <v>36950820</v>
      </c>
      <c r="B55" s="3" t="s">
        <v>387</v>
      </c>
      <c r="C55" s="3" t="s">
        <v>388</v>
      </c>
      <c r="D55" s="3" t="s">
        <v>389</v>
      </c>
      <c r="E55" s="3" t="s">
        <v>223</v>
      </c>
      <c r="F55" s="3" t="s">
        <v>259</v>
      </c>
      <c r="G55" s="3" t="s">
        <v>260</v>
      </c>
      <c r="H55" s="4" t="s">
        <v>295</v>
      </c>
      <c r="I55" s="3"/>
    </row>
    <row r="56" spans="1:9" ht="15" customHeight="1" x14ac:dyDescent="0.25">
      <c r="A56" s="5">
        <v>1088649680</v>
      </c>
      <c r="B56" s="3" t="s">
        <v>387</v>
      </c>
      <c r="C56" s="3" t="s">
        <v>390</v>
      </c>
      <c r="D56" s="3" t="s">
        <v>391</v>
      </c>
      <c r="E56" s="3" t="s">
        <v>223</v>
      </c>
      <c r="F56" s="3" t="s">
        <v>260</v>
      </c>
      <c r="G56" s="3" t="s">
        <v>259</v>
      </c>
      <c r="H56" s="4" t="s">
        <v>263</v>
      </c>
      <c r="I56" s="3"/>
    </row>
    <row r="57" spans="1:9" ht="15" customHeight="1" x14ac:dyDescent="0.25">
      <c r="A57" s="5">
        <v>1085306794</v>
      </c>
      <c r="B57" s="3" t="s">
        <v>392</v>
      </c>
      <c r="C57" s="3" t="s">
        <v>393</v>
      </c>
      <c r="D57" s="3" t="s">
        <v>394</v>
      </c>
      <c r="E57" s="3" t="s">
        <v>223</v>
      </c>
      <c r="F57" s="3" t="s">
        <v>259</v>
      </c>
      <c r="G57" s="3" t="s">
        <v>260</v>
      </c>
      <c r="H57" s="4" t="s">
        <v>365</v>
      </c>
      <c r="I57" s="3"/>
    </row>
    <row r="58" spans="1:9" ht="15" customHeight="1" x14ac:dyDescent="0.25">
      <c r="A58" s="5">
        <v>1085313324</v>
      </c>
      <c r="B58" s="3" t="s">
        <v>395</v>
      </c>
      <c r="C58" s="3" t="s">
        <v>359</v>
      </c>
      <c r="D58" s="3" t="s">
        <v>396</v>
      </c>
      <c r="E58" s="3" t="s">
        <v>223</v>
      </c>
      <c r="F58" s="3" t="s">
        <v>259</v>
      </c>
      <c r="G58" s="3" t="s">
        <v>260</v>
      </c>
      <c r="H58" s="4" t="s">
        <v>397</v>
      </c>
      <c r="I58" s="3"/>
    </row>
    <row r="59" spans="1:9" ht="15" customHeight="1" x14ac:dyDescent="0.25">
      <c r="A59" s="5">
        <v>30731169</v>
      </c>
      <c r="B59" s="3" t="s">
        <v>398</v>
      </c>
      <c r="C59" s="3" t="s">
        <v>399</v>
      </c>
      <c r="D59" s="3" t="s">
        <v>400</v>
      </c>
      <c r="E59" s="3" t="s">
        <v>223</v>
      </c>
      <c r="F59" s="3" t="s">
        <v>232</v>
      </c>
      <c r="G59" s="4" t="s">
        <v>50</v>
      </c>
      <c r="H59" s="4" t="s">
        <v>42</v>
      </c>
      <c r="I59" s="3"/>
    </row>
    <row r="60" spans="1:9" ht="15" customHeight="1" x14ac:dyDescent="0.25">
      <c r="A60" s="5">
        <v>1085309783</v>
      </c>
      <c r="B60" s="3" t="s">
        <v>401</v>
      </c>
      <c r="C60" s="3" t="s">
        <v>402</v>
      </c>
      <c r="D60" s="3" t="s">
        <v>403</v>
      </c>
      <c r="E60" s="3" t="s">
        <v>223</v>
      </c>
      <c r="F60" s="3" t="s">
        <v>259</v>
      </c>
      <c r="G60" s="3" t="s">
        <v>260</v>
      </c>
      <c r="H60" s="4" t="s">
        <v>24</v>
      </c>
      <c r="I60" s="3"/>
    </row>
    <row r="61" spans="1:9" ht="15" customHeight="1" x14ac:dyDescent="0.25">
      <c r="A61" s="5">
        <v>37081632</v>
      </c>
      <c r="B61" s="3" t="s">
        <v>90</v>
      </c>
      <c r="C61" s="3" t="s">
        <v>404</v>
      </c>
      <c r="D61" s="3" t="s">
        <v>405</v>
      </c>
      <c r="E61" s="3" t="s">
        <v>223</v>
      </c>
      <c r="F61" s="3" t="s">
        <v>224</v>
      </c>
      <c r="G61" s="4" t="s">
        <v>6</v>
      </c>
      <c r="H61" s="4" t="s">
        <v>44</v>
      </c>
      <c r="I61" s="3"/>
    </row>
    <row r="62" spans="1:9" ht="15" customHeight="1" x14ac:dyDescent="0.25">
      <c r="A62" s="5">
        <v>30720774</v>
      </c>
      <c r="B62" s="3" t="s">
        <v>187</v>
      </c>
      <c r="C62" s="3" t="s">
        <v>406</v>
      </c>
      <c r="D62" s="3" t="s">
        <v>407</v>
      </c>
      <c r="E62" s="3" t="s">
        <v>223</v>
      </c>
      <c r="F62" s="3" t="s">
        <v>224</v>
      </c>
      <c r="G62" s="4" t="s">
        <v>23</v>
      </c>
      <c r="H62" s="4" t="s">
        <v>357</v>
      </c>
      <c r="I62" s="3" t="s">
        <v>408</v>
      </c>
    </row>
    <row r="63" spans="1:9" ht="15" customHeight="1" x14ac:dyDescent="0.25">
      <c r="A63" s="3"/>
      <c r="B63" s="3" t="s">
        <v>409</v>
      </c>
      <c r="C63" s="3" t="s">
        <v>410</v>
      </c>
      <c r="D63" s="3" t="s">
        <v>411</v>
      </c>
      <c r="E63" s="3" t="s">
        <v>223</v>
      </c>
      <c r="F63" s="3" t="s">
        <v>219</v>
      </c>
      <c r="G63" s="3"/>
      <c r="H63" s="4" t="s">
        <v>410</v>
      </c>
      <c r="I63" s="3"/>
    </row>
    <row r="64" spans="1:9" ht="15" customHeight="1" x14ac:dyDescent="0.25">
      <c r="A64" s="3"/>
      <c r="B64" s="3" t="s">
        <v>409</v>
      </c>
      <c r="C64" s="3" t="s">
        <v>412</v>
      </c>
      <c r="D64" s="3" t="s">
        <v>413</v>
      </c>
      <c r="E64" s="3" t="s">
        <v>223</v>
      </c>
      <c r="F64" s="3" t="s">
        <v>219</v>
      </c>
      <c r="G64" s="3"/>
      <c r="H64" s="4" t="s">
        <v>229</v>
      </c>
      <c r="I64" s="3"/>
    </row>
    <row r="65" spans="1:9" ht="15" customHeight="1" x14ac:dyDescent="0.25">
      <c r="A65" s="5">
        <v>16480291</v>
      </c>
      <c r="B65" s="3" t="s">
        <v>127</v>
      </c>
      <c r="C65" s="3" t="s">
        <v>414</v>
      </c>
      <c r="D65" s="3" t="s">
        <v>415</v>
      </c>
      <c r="E65" s="3" t="s">
        <v>223</v>
      </c>
      <c r="F65" s="3" t="s">
        <v>243</v>
      </c>
      <c r="G65" s="3" t="s">
        <v>35</v>
      </c>
      <c r="H65" s="4" t="s">
        <v>3</v>
      </c>
      <c r="I65" s="3"/>
    </row>
    <row r="66" spans="1:9" ht="15" customHeight="1" x14ac:dyDescent="0.25">
      <c r="A66" s="5">
        <v>5206345</v>
      </c>
      <c r="B66" s="3" t="s">
        <v>416</v>
      </c>
      <c r="C66" s="3" t="s">
        <v>0</v>
      </c>
      <c r="D66" s="3" t="s">
        <v>417</v>
      </c>
      <c r="E66" s="3" t="s">
        <v>223</v>
      </c>
      <c r="F66" s="3" t="s">
        <v>259</v>
      </c>
      <c r="G66" s="3" t="s">
        <v>260</v>
      </c>
      <c r="H66" s="4" t="s">
        <v>46</v>
      </c>
      <c r="I66" s="3"/>
    </row>
    <row r="67" spans="1:9" ht="15" customHeight="1" x14ac:dyDescent="0.25">
      <c r="A67" s="3"/>
      <c r="B67" s="3" t="s">
        <v>418</v>
      </c>
      <c r="C67" s="3" t="s">
        <v>419</v>
      </c>
      <c r="D67" s="3" t="s">
        <v>420</v>
      </c>
      <c r="E67" s="3" t="s">
        <v>223</v>
      </c>
      <c r="F67" s="3" t="s">
        <v>219</v>
      </c>
      <c r="G67" s="3"/>
      <c r="H67" s="4" t="s">
        <v>421</v>
      </c>
      <c r="I67" s="3"/>
    </row>
    <row r="68" spans="1:9" ht="15" customHeight="1" x14ac:dyDescent="0.25">
      <c r="A68" s="3"/>
      <c r="B68" s="3" t="s">
        <v>422</v>
      </c>
      <c r="C68" s="3" t="s">
        <v>253</v>
      </c>
      <c r="D68" s="3" t="s">
        <v>423</v>
      </c>
      <c r="E68" s="3" t="s">
        <v>223</v>
      </c>
      <c r="F68" s="3" t="s">
        <v>219</v>
      </c>
      <c r="G68" s="3"/>
      <c r="H68" s="4" t="s">
        <v>236</v>
      </c>
      <c r="I68" s="3"/>
    </row>
    <row r="69" spans="1:9" ht="15" customHeight="1" x14ac:dyDescent="0.25">
      <c r="A69" s="5">
        <v>36755849</v>
      </c>
      <c r="B69" s="3" t="s">
        <v>88</v>
      </c>
      <c r="C69" s="3" t="s">
        <v>424</v>
      </c>
      <c r="D69" s="3" t="s">
        <v>425</v>
      </c>
      <c r="E69" s="3" t="s">
        <v>223</v>
      </c>
      <c r="F69" s="3" t="s">
        <v>228</v>
      </c>
      <c r="G69" s="4" t="s">
        <v>6</v>
      </c>
      <c r="H69" s="4" t="s">
        <v>46</v>
      </c>
      <c r="I69" s="3"/>
    </row>
    <row r="70" spans="1:9" ht="15" customHeight="1" x14ac:dyDescent="0.25">
      <c r="A70" s="3"/>
      <c r="B70" s="3" t="s">
        <v>426</v>
      </c>
      <c r="C70" s="3" t="s">
        <v>427</v>
      </c>
      <c r="D70" s="3" t="s">
        <v>428</v>
      </c>
      <c r="E70" s="3" t="s">
        <v>223</v>
      </c>
      <c r="F70" s="3" t="s">
        <v>219</v>
      </c>
      <c r="G70" s="3"/>
      <c r="H70" s="4" t="s">
        <v>429</v>
      </c>
      <c r="I70" s="3"/>
    </row>
    <row r="71" spans="1:9" ht="15" customHeight="1" x14ac:dyDescent="0.25">
      <c r="A71" s="3"/>
      <c r="B71" s="3" t="s">
        <v>430</v>
      </c>
      <c r="C71" s="3" t="s">
        <v>419</v>
      </c>
      <c r="D71" s="3" t="s">
        <v>431</v>
      </c>
      <c r="E71" s="3" t="s">
        <v>218</v>
      </c>
      <c r="F71" s="3" t="s">
        <v>219</v>
      </c>
      <c r="G71" s="3"/>
      <c r="H71" s="4" t="s">
        <v>432</v>
      </c>
      <c r="I71" s="3"/>
    </row>
    <row r="72" spans="1:9" ht="15" customHeight="1" x14ac:dyDescent="0.25">
      <c r="A72" s="5">
        <v>30719071</v>
      </c>
      <c r="B72" s="3" t="s">
        <v>433</v>
      </c>
      <c r="C72" s="3" t="s">
        <v>434</v>
      </c>
      <c r="D72" s="3" t="s">
        <v>435</v>
      </c>
      <c r="E72" s="3" t="s">
        <v>223</v>
      </c>
      <c r="F72" s="3" t="s">
        <v>259</v>
      </c>
      <c r="G72" s="3" t="s">
        <v>260</v>
      </c>
      <c r="H72" s="4" t="s">
        <v>166</v>
      </c>
      <c r="I72" s="3"/>
    </row>
    <row r="73" spans="1:9" ht="15" customHeight="1" x14ac:dyDescent="0.25">
      <c r="A73" s="5">
        <v>36953083</v>
      </c>
      <c r="B73" s="3" t="s">
        <v>436</v>
      </c>
      <c r="C73" s="3" t="s">
        <v>437</v>
      </c>
      <c r="D73" s="3" t="s">
        <v>438</v>
      </c>
      <c r="E73" s="3" t="s">
        <v>223</v>
      </c>
      <c r="F73" s="3" t="s">
        <v>259</v>
      </c>
      <c r="G73" s="3" t="s">
        <v>260</v>
      </c>
      <c r="H73" s="4" t="s">
        <v>46</v>
      </c>
      <c r="I73" s="3"/>
    </row>
    <row r="74" spans="1:9" ht="15" customHeight="1" x14ac:dyDescent="0.25">
      <c r="A74" s="5">
        <v>30744501</v>
      </c>
      <c r="B74" s="3" t="s">
        <v>132</v>
      </c>
      <c r="C74" s="3" t="s">
        <v>131</v>
      </c>
      <c r="D74" s="3" t="s">
        <v>251</v>
      </c>
      <c r="E74" s="3" t="s">
        <v>223</v>
      </c>
      <c r="F74" s="3" t="s">
        <v>232</v>
      </c>
      <c r="G74" s="4" t="s">
        <v>50</v>
      </c>
      <c r="H74" s="4" t="s">
        <v>15</v>
      </c>
      <c r="I74" s="3"/>
    </row>
    <row r="75" spans="1:9" ht="15" customHeight="1" x14ac:dyDescent="0.25">
      <c r="A75" s="5">
        <v>30737259</v>
      </c>
      <c r="B75" s="3" t="s">
        <v>439</v>
      </c>
      <c r="C75" s="3" t="s">
        <v>440</v>
      </c>
      <c r="D75" s="3" t="s">
        <v>441</v>
      </c>
      <c r="E75" s="3" t="s">
        <v>223</v>
      </c>
      <c r="F75" s="3" t="s">
        <v>228</v>
      </c>
      <c r="G75" s="4" t="s">
        <v>11</v>
      </c>
      <c r="H75" s="4" t="s">
        <v>442</v>
      </c>
      <c r="I75" s="3"/>
    </row>
    <row r="76" spans="1:9" ht="15" customHeight="1" x14ac:dyDescent="0.25">
      <c r="A76" s="3"/>
      <c r="B76" s="3" t="s">
        <v>443</v>
      </c>
      <c r="C76" s="3" t="s">
        <v>444</v>
      </c>
      <c r="D76" s="3" t="s">
        <v>445</v>
      </c>
      <c r="E76" s="3" t="s">
        <v>223</v>
      </c>
      <c r="F76" s="3" t="s">
        <v>219</v>
      </c>
      <c r="G76" s="3"/>
      <c r="H76" s="4" t="s">
        <v>42</v>
      </c>
      <c r="I76" s="3"/>
    </row>
    <row r="77" spans="1:9" ht="15" customHeight="1" x14ac:dyDescent="0.25">
      <c r="A77" s="3"/>
      <c r="B77" s="3" t="s">
        <v>446</v>
      </c>
      <c r="C77" s="3" t="s">
        <v>447</v>
      </c>
      <c r="D77" s="3" t="s">
        <v>448</v>
      </c>
      <c r="E77" s="3" t="s">
        <v>223</v>
      </c>
      <c r="F77" s="3" t="s">
        <v>219</v>
      </c>
      <c r="G77" s="3"/>
      <c r="H77" s="4" t="s">
        <v>166</v>
      </c>
      <c r="I77" s="3"/>
    </row>
    <row r="78" spans="1:9" ht="15" customHeight="1" x14ac:dyDescent="0.25">
      <c r="A78" s="5">
        <v>27088462</v>
      </c>
      <c r="B78" s="3" t="s">
        <v>449</v>
      </c>
      <c r="C78" s="3" t="s">
        <v>450</v>
      </c>
      <c r="D78" s="3" t="s">
        <v>451</v>
      </c>
      <c r="E78" s="3" t="s">
        <v>223</v>
      </c>
      <c r="F78" s="3" t="s">
        <v>224</v>
      </c>
      <c r="G78" s="3" t="s">
        <v>452</v>
      </c>
      <c r="H78" s="4" t="s">
        <v>10</v>
      </c>
      <c r="I78" s="3"/>
    </row>
    <row r="79" spans="1:9" ht="15" customHeight="1" x14ac:dyDescent="0.25">
      <c r="A79" s="3"/>
      <c r="B79" s="3" t="s">
        <v>453</v>
      </c>
      <c r="C79" s="3" t="s">
        <v>444</v>
      </c>
      <c r="D79" s="3" t="s">
        <v>454</v>
      </c>
      <c r="E79" s="3" t="s">
        <v>223</v>
      </c>
      <c r="F79" s="3" t="s">
        <v>219</v>
      </c>
      <c r="G79" s="3"/>
      <c r="H79" s="4" t="s">
        <v>56</v>
      </c>
      <c r="I79" s="3"/>
    </row>
    <row r="80" spans="1:9" ht="15" customHeight="1" x14ac:dyDescent="0.25">
      <c r="A80" s="3"/>
      <c r="B80" s="3" t="s">
        <v>455</v>
      </c>
      <c r="C80" s="3" t="s">
        <v>456</v>
      </c>
      <c r="D80" s="3" t="s">
        <v>457</v>
      </c>
      <c r="E80" s="3" t="s">
        <v>223</v>
      </c>
      <c r="F80" s="3" t="s">
        <v>219</v>
      </c>
      <c r="G80" s="3"/>
      <c r="H80" s="4" t="s">
        <v>304</v>
      </c>
      <c r="I80" s="3"/>
    </row>
    <row r="81" spans="1:9" ht="15" customHeight="1" x14ac:dyDescent="0.25">
      <c r="A81" s="3"/>
      <c r="B81" s="3" t="s">
        <v>458</v>
      </c>
      <c r="C81" s="3" t="s">
        <v>444</v>
      </c>
      <c r="D81" s="3" t="s">
        <v>459</v>
      </c>
      <c r="E81" s="3" t="s">
        <v>223</v>
      </c>
      <c r="F81" s="3" t="s">
        <v>219</v>
      </c>
      <c r="G81" s="3"/>
      <c r="H81" s="4" t="s">
        <v>56</v>
      </c>
      <c r="I81" s="3"/>
    </row>
    <row r="82" spans="1:9" ht="15" customHeight="1" x14ac:dyDescent="0.25">
      <c r="A82" s="5">
        <v>12748132</v>
      </c>
      <c r="B82" s="3" t="s">
        <v>460</v>
      </c>
      <c r="C82" s="3" t="s">
        <v>461</v>
      </c>
      <c r="D82" s="3" t="s">
        <v>462</v>
      </c>
      <c r="E82" s="3" t="s">
        <v>223</v>
      </c>
      <c r="F82" s="3" t="s">
        <v>259</v>
      </c>
      <c r="G82" s="3" t="s">
        <v>260</v>
      </c>
      <c r="H82" s="4" t="s">
        <v>410</v>
      </c>
      <c r="I82" s="3"/>
    </row>
    <row r="83" spans="1:9" ht="15" customHeight="1" x14ac:dyDescent="0.25">
      <c r="A83" s="5">
        <v>59818033</v>
      </c>
      <c r="B83" s="3" t="s">
        <v>173</v>
      </c>
      <c r="C83" s="3" t="s">
        <v>463</v>
      </c>
      <c r="D83" s="3" t="s">
        <v>464</v>
      </c>
      <c r="E83" s="3" t="s">
        <v>223</v>
      </c>
      <c r="F83" s="3" t="s">
        <v>224</v>
      </c>
      <c r="G83" s="4" t="s">
        <v>225</v>
      </c>
      <c r="H83" s="4" t="s">
        <v>320</v>
      </c>
      <c r="I83" s="3"/>
    </row>
    <row r="84" spans="1:9" ht="15" customHeight="1" x14ac:dyDescent="0.25">
      <c r="A84" s="3"/>
      <c r="B84" s="3" t="s">
        <v>465</v>
      </c>
      <c r="C84" s="3" t="s">
        <v>466</v>
      </c>
      <c r="D84" s="3" t="s">
        <v>467</v>
      </c>
      <c r="E84" s="3" t="s">
        <v>223</v>
      </c>
      <c r="F84" s="3" t="s">
        <v>219</v>
      </c>
      <c r="G84" s="3"/>
      <c r="H84" s="3" t="s">
        <v>10</v>
      </c>
      <c r="I84" s="3"/>
    </row>
    <row r="85" spans="1:9" ht="15" customHeight="1" x14ac:dyDescent="0.25">
      <c r="A85" s="3"/>
      <c r="B85" s="3" t="s">
        <v>468</v>
      </c>
      <c r="C85" s="3" t="s">
        <v>444</v>
      </c>
      <c r="D85" s="3" t="s">
        <v>469</v>
      </c>
      <c r="E85" s="3" t="s">
        <v>223</v>
      </c>
      <c r="F85" s="3" t="s">
        <v>219</v>
      </c>
      <c r="G85" s="3"/>
      <c r="H85" s="4" t="s">
        <v>56</v>
      </c>
      <c r="I85" s="3"/>
    </row>
    <row r="86" spans="1:9" ht="15" customHeight="1" x14ac:dyDescent="0.25">
      <c r="A86" s="5">
        <v>98394084</v>
      </c>
      <c r="B86" s="3" t="s">
        <v>470</v>
      </c>
      <c r="C86" s="3" t="s">
        <v>471</v>
      </c>
      <c r="D86" s="3" t="s">
        <v>472</v>
      </c>
      <c r="E86" s="3" t="s">
        <v>218</v>
      </c>
      <c r="F86" s="3" t="s">
        <v>473</v>
      </c>
      <c r="G86" s="3" t="s">
        <v>177</v>
      </c>
      <c r="H86" s="4" t="s">
        <v>3</v>
      </c>
      <c r="I86" s="3"/>
    </row>
    <row r="87" spans="1:9" ht="15" customHeight="1" x14ac:dyDescent="0.25">
      <c r="A87" s="5">
        <v>1032440422</v>
      </c>
      <c r="B87" s="3" t="s">
        <v>470</v>
      </c>
      <c r="C87" s="3" t="s">
        <v>474</v>
      </c>
      <c r="D87" s="3" t="s">
        <v>475</v>
      </c>
      <c r="E87" s="3" t="s">
        <v>223</v>
      </c>
      <c r="F87" s="3" t="s">
        <v>259</v>
      </c>
      <c r="G87" s="3" t="s">
        <v>260</v>
      </c>
      <c r="H87" s="4" t="s">
        <v>320</v>
      </c>
      <c r="I87" s="3"/>
    </row>
    <row r="88" spans="1:9" ht="15" customHeight="1" x14ac:dyDescent="0.25">
      <c r="A88" s="5">
        <v>1085273726</v>
      </c>
      <c r="B88" s="3" t="s">
        <v>476</v>
      </c>
      <c r="C88" s="3" t="s">
        <v>36</v>
      </c>
      <c r="D88" s="3" t="s">
        <v>477</v>
      </c>
      <c r="E88" s="3" t="s">
        <v>223</v>
      </c>
      <c r="F88" s="3" t="s">
        <v>259</v>
      </c>
      <c r="G88" s="3" t="s">
        <v>260</v>
      </c>
      <c r="H88" s="4" t="s">
        <v>320</v>
      </c>
      <c r="I88" s="3"/>
    </row>
    <row r="89" spans="1:9" ht="15" customHeight="1" x14ac:dyDescent="0.25">
      <c r="A89" s="5">
        <v>13069778</v>
      </c>
      <c r="B89" s="3" t="s">
        <v>478</v>
      </c>
      <c r="C89" s="3" t="s">
        <v>479</v>
      </c>
      <c r="D89" s="3" t="s">
        <v>480</v>
      </c>
      <c r="E89" s="3" t="s">
        <v>223</v>
      </c>
      <c r="F89" s="3" t="s">
        <v>259</v>
      </c>
      <c r="G89" s="3" t="s">
        <v>260</v>
      </c>
      <c r="H89" s="4" t="s">
        <v>247</v>
      </c>
      <c r="I89" s="3"/>
    </row>
    <row r="90" spans="1:9" ht="15" customHeight="1" x14ac:dyDescent="0.25">
      <c r="A90" s="3"/>
      <c r="B90" s="3" t="s">
        <v>481</v>
      </c>
      <c r="C90" s="3" t="s">
        <v>482</v>
      </c>
      <c r="D90" s="3" t="s">
        <v>483</v>
      </c>
      <c r="E90" s="3" t="s">
        <v>218</v>
      </c>
      <c r="F90" s="3" t="s">
        <v>484</v>
      </c>
      <c r="G90" s="3"/>
      <c r="H90" s="4" t="s">
        <v>320</v>
      </c>
      <c r="I90" s="3"/>
    </row>
    <row r="91" spans="1:9" ht="15" customHeight="1" x14ac:dyDescent="0.25">
      <c r="A91" s="5">
        <v>98381357</v>
      </c>
      <c r="B91" s="3" t="s">
        <v>485</v>
      </c>
      <c r="C91" s="3" t="s">
        <v>486</v>
      </c>
      <c r="D91" s="3" t="s">
        <v>487</v>
      </c>
      <c r="E91" s="3" t="s">
        <v>223</v>
      </c>
      <c r="F91" s="3" t="s">
        <v>224</v>
      </c>
      <c r="G91" s="4" t="s">
        <v>6</v>
      </c>
      <c r="H91" s="4" t="s">
        <v>488</v>
      </c>
      <c r="I91" s="3" t="s">
        <v>237</v>
      </c>
    </row>
    <row r="92" spans="1:9" ht="15" customHeight="1" x14ac:dyDescent="0.25">
      <c r="A92" s="5">
        <v>13069799</v>
      </c>
      <c r="B92" s="3" t="s">
        <v>489</v>
      </c>
      <c r="C92" s="3" t="s">
        <v>490</v>
      </c>
      <c r="D92" s="3" t="s">
        <v>491</v>
      </c>
      <c r="E92" s="3" t="s">
        <v>218</v>
      </c>
      <c r="F92" s="3" t="s">
        <v>243</v>
      </c>
      <c r="G92" s="3" t="s">
        <v>452</v>
      </c>
      <c r="H92" s="4" t="s">
        <v>320</v>
      </c>
      <c r="I92" s="3"/>
    </row>
    <row r="93" spans="1:9" ht="15" customHeight="1" x14ac:dyDescent="0.25">
      <c r="A93" s="5">
        <v>98395543</v>
      </c>
      <c r="B93" s="3" t="s">
        <v>492</v>
      </c>
      <c r="C93" s="3" t="s">
        <v>493</v>
      </c>
      <c r="D93" s="3" t="s">
        <v>494</v>
      </c>
      <c r="E93" s="3" t="s">
        <v>223</v>
      </c>
      <c r="F93" s="3" t="s">
        <v>259</v>
      </c>
      <c r="G93" s="3" t="s">
        <v>260</v>
      </c>
      <c r="H93" s="4" t="s">
        <v>46</v>
      </c>
      <c r="I93" s="3"/>
    </row>
    <row r="94" spans="1:9" ht="15" customHeight="1" x14ac:dyDescent="0.25">
      <c r="A94" s="5">
        <v>87453427</v>
      </c>
      <c r="B94" s="3" t="s">
        <v>492</v>
      </c>
      <c r="C94" s="3" t="s">
        <v>495</v>
      </c>
      <c r="D94" s="3" t="s">
        <v>496</v>
      </c>
      <c r="E94" s="3" t="s">
        <v>223</v>
      </c>
      <c r="F94" s="3" t="s">
        <v>259</v>
      </c>
      <c r="G94" s="3" t="s">
        <v>260</v>
      </c>
      <c r="H94" s="4" t="s">
        <v>46</v>
      </c>
      <c r="I94" s="3"/>
    </row>
    <row r="95" spans="1:9" ht="15" customHeight="1" x14ac:dyDescent="0.25">
      <c r="A95" s="5">
        <v>1085306850</v>
      </c>
      <c r="B95" s="3" t="s">
        <v>497</v>
      </c>
      <c r="C95" s="3" t="s">
        <v>26</v>
      </c>
      <c r="D95" s="3" t="s">
        <v>498</v>
      </c>
      <c r="E95" s="3" t="s">
        <v>223</v>
      </c>
      <c r="F95" s="3" t="s">
        <v>259</v>
      </c>
      <c r="G95" s="3" t="s">
        <v>260</v>
      </c>
      <c r="H95" s="4" t="s">
        <v>365</v>
      </c>
      <c r="I95" s="3"/>
    </row>
    <row r="96" spans="1:9" ht="15" customHeight="1" x14ac:dyDescent="0.25">
      <c r="A96" s="5">
        <v>13013313</v>
      </c>
      <c r="B96" s="3" t="s">
        <v>109</v>
      </c>
      <c r="C96" s="3" t="s">
        <v>499</v>
      </c>
      <c r="D96" s="3" t="s">
        <v>500</v>
      </c>
      <c r="E96" s="3" t="s">
        <v>223</v>
      </c>
      <c r="F96" s="3" t="s">
        <v>224</v>
      </c>
      <c r="G96" s="4" t="s">
        <v>6</v>
      </c>
      <c r="H96" s="4" t="s">
        <v>295</v>
      </c>
      <c r="I96" s="3"/>
    </row>
    <row r="97" spans="1:9" ht="15" customHeight="1" x14ac:dyDescent="0.25">
      <c r="A97" s="5">
        <v>1085273777</v>
      </c>
      <c r="B97" s="3" t="s">
        <v>501</v>
      </c>
      <c r="C97" s="3" t="s">
        <v>502</v>
      </c>
      <c r="D97" s="3" t="s">
        <v>503</v>
      </c>
      <c r="E97" s="3" t="s">
        <v>223</v>
      </c>
      <c r="F97" s="3" t="s">
        <v>259</v>
      </c>
      <c r="G97" s="3" t="s">
        <v>260</v>
      </c>
      <c r="H97" s="4" t="s">
        <v>504</v>
      </c>
      <c r="I97" s="3"/>
    </row>
    <row r="98" spans="1:9" ht="15" customHeight="1" x14ac:dyDescent="0.25">
      <c r="A98" s="5">
        <v>98343738</v>
      </c>
      <c r="B98" s="3" t="s">
        <v>76</v>
      </c>
      <c r="C98" s="3" t="s">
        <v>505</v>
      </c>
      <c r="D98" s="3" t="s">
        <v>506</v>
      </c>
      <c r="E98" s="3" t="s">
        <v>223</v>
      </c>
      <c r="F98" s="3" t="s">
        <v>243</v>
      </c>
      <c r="G98" s="3" t="s">
        <v>35</v>
      </c>
      <c r="H98" s="4" t="s">
        <v>3</v>
      </c>
      <c r="I98" s="3"/>
    </row>
    <row r="99" spans="1:9" ht="15" customHeight="1" x14ac:dyDescent="0.25">
      <c r="A99" s="5">
        <v>87102399</v>
      </c>
      <c r="B99" s="3" t="s">
        <v>55</v>
      </c>
      <c r="C99" s="3" t="s">
        <v>507</v>
      </c>
      <c r="D99" s="3" t="s">
        <v>508</v>
      </c>
      <c r="E99" s="3" t="s">
        <v>223</v>
      </c>
      <c r="F99" s="3" t="s">
        <v>243</v>
      </c>
      <c r="G99" s="4" t="s">
        <v>8</v>
      </c>
      <c r="H99" s="4" t="s">
        <v>442</v>
      </c>
      <c r="I99" s="3"/>
    </row>
    <row r="100" spans="1:9" ht="15" customHeight="1" x14ac:dyDescent="0.25">
      <c r="A100" s="5">
        <v>12753341</v>
      </c>
      <c r="B100" s="3" t="s">
        <v>55</v>
      </c>
      <c r="C100" s="3" t="s">
        <v>509</v>
      </c>
      <c r="D100" s="3" t="s">
        <v>510</v>
      </c>
      <c r="E100" s="3" t="s">
        <v>223</v>
      </c>
      <c r="F100" s="3" t="s">
        <v>243</v>
      </c>
      <c r="G100" s="4" t="s">
        <v>23</v>
      </c>
      <c r="H100" s="4" t="s">
        <v>240</v>
      </c>
      <c r="I100" s="3"/>
    </row>
    <row r="101" spans="1:9" ht="15" customHeight="1" x14ac:dyDescent="0.25">
      <c r="A101" s="5">
        <v>12982120</v>
      </c>
      <c r="B101" s="3" t="s">
        <v>75</v>
      </c>
      <c r="C101" s="3" t="s">
        <v>511</v>
      </c>
      <c r="D101" s="3" t="s">
        <v>512</v>
      </c>
      <c r="E101" s="3" t="s">
        <v>223</v>
      </c>
      <c r="F101" s="3" t="s">
        <v>224</v>
      </c>
      <c r="G101" s="4" t="s">
        <v>6</v>
      </c>
      <c r="H101" s="4" t="s">
        <v>24</v>
      </c>
      <c r="I101" s="3"/>
    </row>
    <row r="102" spans="1:9" ht="15" customHeight="1" x14ac:dyDescent="0.25">
      <c r="A102" s="5">
        <v>5305887</v>
      </c>
      <c r="B102" s="3" t="s">
        <v>200</v>
      </c>
      <c r="C102" s="3" t="s">
        <v>513</v>
      </c>
      <c r="D102" s="3" t="s">
        <v>514</v>
      </c>
      <c r="E102" s="3" t="s">
        <v>223</v>
      </c>
      <c r="F102" s="3" t="s">
        <v>232</v>
      </c>
      <c r="G102" s="4" t="s">
        <v>23</v>
      </c>
      <c r="H102" s="4" t="s">
        <v>304</v>
      </c>
      <c r="I102" s="3"/>
    </row>
    <row r="103" spans="1:9" ht="15" customHeight="1" x14ac:dyDescent="0.25">
      <c r="A103" s="5">
        <v>12979094</v>
      </c>
      <c r="B103" s="3" t="s">
        <v>515</v>
      </c>
      <c r="C103" s="3" t="s">
        <v>238</v>
      </c>
      <c r="D103" s="3" t="s">
        <v>516</v>
      </c>
      <c r="E103" s="3" t="s">
        <v>223</v>
      </c>
      <c r="F103" s="3" t="s">
        <v>259</v>
      </c>
      <c r="G103" s="3" t="s">
        <v>260</v>
      </c>
      <c r="H103" s="4" t="s">
        <v>365</v>
      </c>
      <c r="I103" s="3"/>
    </row>
    <row r="104" spans="1:9" ht="15" customHeight="1" x14ac:dyDescent="0.25">
      <c r="A104" s="5">
        <v>12993751</v>
      </c>
      <c r="B104" s="3" t="s">
        <v>172</v>
      </c>
      <c r="C104" s="3" t="s">
        <v>517</v>
      </c>
      <c r="D104" s="3" t="s">
        <v>518</v>
      </c>
      <c r="E104" s="3" t="s">
        <v>223</v>
      </c>
      <c r="F104" s="3" t="s">
        <v>232</v>
      </c>
      <c r="G104" s="4" t="s">
        <v>23</v>
      </c>
      <c r="H104" s="4" t="s">
        <v>377</v>
      </c>
      <c r="I104" s="3"/>
    </row>
    <row r="105" spans="1:9" ht="15" customHeight="1" x14ac:dyDescent="0.25">
      <c r="A105" s="5">
        <v>27175884</v>
      </c>
      <c r="B105" s="3" t="s">
        <v>158</v>
      </c>
      <c r="C105" s="3" t="s">
        <v>519</v>
      </c>
      <c r="D105" s="3" t="s">
        <v>520</v>
      </c>
      <c r="E105" s="3" t="s">
        <v>223</v>
      </c>
      <c r="F105" s="3" t="s">
        <v>232</v>
      </c>
      <c r="G105" s="4" t="s">
        <v>50</v>
      </c>
      <c r="H105" s="4" t="s">
        <v>429</v>
      </c>
      <c r="I105" s="3"/>
    </row>
    <row r="106" spans="1:9" ht="15" customHeight="1" x14ac:dyDescent="0.25">
      <c r="A106" s="5">
        <v>59668111</v>
      </c>
      <c r="B106" s="3" t="s">
        <v>146</v>
      </c>
      <c r="C106" s="3" t="s">
        <v>521</v>
      </c>
      <c r="D106" s="3" t="s">
        <v>522</v>
      </c>
      <c r="E106" s="3" t="s">
        <v>223</v>
      </c>
      <c r="F106" s="3" t="s">
        <v>243</v>
      </c>
      <c r="G106" s="3" t="s">
        <v>2</v>
      </c>
      <c r="H106" s="4" t="s">
        <v>247</v>
      </c>
      <c r="I106" s="3"/>
    </row>
    <row r="107" spans="1:9" ht="15" customHeight="1" x14ac:dyDescent="0.25">
      <c r="A107" s="5">
        <v>30728541</v>
      </c>
      <c r="B107" s="3" t="s">
        <v>523</v>
      </c>
      <c r="C107" s="3" t="s">
        <v>524</v>
      </c>
      <c r="D107" s="3" t="s">
        <v>525</v>
      </c>
      <c r="E107" s="3" t="s">
        <v>223</v>
      </c>
      <c r="F107" s="3" t="s">
        <v>224</v>
      </c>
      <c r="G107" s="4" t="s">
        <v>526</v>
      </c>
      <c r="H107" s="4" t="s">
        <v>295</v>
      </c>
      <c r="I107" s="3"/>
    </row>
    <row r="108" spans="1:9" ht="15" customHeight="1" x14ac:dyDescent="0.25">
      <c r="A108" s="5">
        <v>1085308762</v>
      </c>
      <c r="B108" s="3" t="s">
        <v>205</v>
      </c>
      <c r="C108" s="3" t="s">
        <v>527</v>
      </c>
      <c r="D108" s="3" t="s">
        <v>528</v>
      </c>
      <c r="E108" s="3" t="s">
        <v>223</v>
      </c>
      <c r="F108" s="3" t="s">
        <v>259</v>
      </c>
      <c r="G108" s="3" t="s">
        <v>260</v>
      </c>
      <c r="H108" s="4" t="s">
        <v>46</v>
      </c>
      <c r="I108" s="3"/>
    </row>
    <row r="109" spans="1:9" ht="15" customHeight="1" x14ac:dyDescent="0.25">
      <c r="A109" s="5">
        <v>1084223678</v>
      </c>
      <c r="B109" s="3" t="s">
        <v>205</v>
      </c>
      <c r="C109" s="3" t="s">
        <v>529</v>
      </c>
      <c r="D109" s="3" t="s">
        <v>530</v>
      </c>
      <c r="E109" s="3" t="s">
        <v>223</v>
      </c>
      <c r="F109" s="3" t="s">
        <v>259</v>
      </c>
      <c r="G109" s="3" t="s">
        <v>260</v>
      </c>
      <c r="H109" s="4" t="s">
        <v>531</v>
      </c>
      <c r="I109" s="3"/>
    </row>
    <row r="110" spans="1:9" ht="15" customHeight="1" x14ac:dyDescent="0.25">
      <c r="A110" s="5">
        <v>1085261562</v>
      </c>
      <c r="B110" s="3" t="s">
        <v>205</v>
      </c>
      <c r="C110" s="3" t="s">
        <v>532</v>
      </c>
      <c r="D110" s="3" t="s">
        <v>533</v>
      </c>
      <c r="E110" s="3" t="s">
        <v>223</v>
      </c>
      <c r="F110" s="3" t="s">
        <v>260</v>
      </c>
      <c r="G110" s="3" t="s">
        <v>259</v>
      </c>
      <c r="H110" s="4" t="s">
        <v>534</v>
      </c>
      <c r="I110" s="3"/>
    </row>
    <row r="111" spans="1:9" ht="15" customHeight="1" x14ac:dyDescent="0.25">
      <c r="A111" s="5">
        <v>59314051</v>
      </c>
      <c r="B111" s="3" t="s">
        <v>205</v>
      </c>
      <c r="C111" s="3" t="s">
        <v>535</v>
      </c>
      <c r="D111" s="3" t="s">
        <v>536</v>
      </c>
      <c r="E111" s="3" t="s">
        <v>223</v>
      </c>
      <c r="F111" s="3" t="s">
        <v>259</v>
      </c>
      <c r="G111" s="3" t="s">
        <v>260</v>
      </c>
      <c r="H111" s="4" t="s">
        <v>534</v>
      </c>
      <c r="I111" s="3"/>
    </row>
    <row r="112" spans="1:9" ht="15" customHeight="1" x14ac:dyDescent="0.25">
      <c r="A112" s="5">
        <v>1087127474</v>
      </c>
      <c r="B112" s="3" t="s">
        <v>537</v>
      </c>
      <c r="C112" s="3" t="s">
        <v>538</v>
      </c>
      <c r="D112" s="3" t="s">
        <v>539</v>
      </c>
      <c r="E112" s="3" t="s">
        <v>223</v>
      </c>
      <c r="F112" s="3" t="s">
        <v>259</v>
      </c>
      <c r="G112" s="3" t="s">
        <v>260</v>
      </c>
      <c r="H112" s="4" t="s">
        <v>236</v>
      </c>
      <c r="I112" s="3"/>
    </row>
    <row r="113" spans="1:9" ht="15" customHeight="1" x14ac:dyDescent="0.25">
      <c r="A113" s="5">
        <v>27470252</v>
      </c>
      <c r="B113" s="3" t="s">
        <v>123</v>
      </c>
      <c r="C113" s="3" t="s">
        <v>540</v>
      </c>
      <c r="D113" s="3" t="s">
        <v>541</v>
      </c>
      <c r="E113" s="3" t="s">
        <v>223</v>
      </c>
      <c r="F113" s="3" t="s">
        <v>232</v>
      </c>
      <c r="G113" s="4" t="s">
        <v>542</v>
      </c>
      <c r="H113" s="4" t="s">
        <v>10</v>
      </c>
      <c r="I113" s="3"/>
    </row>
    <row r="114" spans="1:9" ht="15" customHeight="1" x14ac:dyDescent="0.25">
      <c r="A114" s="3"/>
      <c r="B114" s="3" t="s">
        <v>543</v>
      </c>
      <c r="C114" s="3" t="s">
        <v>544</v>
      </c>
      <c r="D114" s="3" t="s">
        <v>545</v>
      </c>
      <c r="E114" s="3" t="s">
        <v>223</v>
      </c>
      <c r="F114" s="3" t="s">
        <v>219</v>
      </c>
      <c r="G114" s="3"/>
      <c r="H114" s="4" t="s">
        <v>339</v>
      </c>
      <c r="I114" s="3"/>
    </row>
    <row r="115" spans="1:9" ht="15" customHeight="1" x14ac:dyDescent="0.25">
      <c r="A115" s="5">
        <v>8704645</v>
      </c>
      <c r="B115" s="3" t="s">
        <v>159</v>
      </c>
      <c r="C115" s="3" t="s">
        <v>546</v>
      </c>
      <c r="D115" s="3" t="s">
        <v>547</v>
      </c>
      <c r="E115" s="3" t="s">
        <v>223</v>
      </c>
      <c r="F115" s="3" t="s">
        <v>224</v>
      </c>
      <c r="G115" s="4" t="s">
        <v>542</v>
      </c>
      <c r="H115" s="4" t="s">
        <v>304</v>
      </c>
      <c r="I115" s="3"/>
    </row>
    <row r="116" spans="1:9" ht="15" customHeight="1" x14ac:dyDescent="0.25">
      <c r="A116" s="5">
        <v>1085285828</v>
      </c>
      <c r="B116" s="3" t="s">
        <v>159</v>
      </c>
      <c r="C116" s="3" t="s">
        <v>548</v>
      </c>
      <c r="D116" s="3" t="s">
        <v>549</v>
      </c>
      <c r="E116" s="3" t="s">
        <v>223</v>
      </c>
      <c r="F116" s="3" t="s">
        <v>259</v>
      </c>
      <c r="G116" s="3" t="s">
        <v>260</v>
      </c>
      <c r="H116" s="4" t="s">
        <v>339</v>
      </c>
      <c r="I116" s="3"/>
    </row>
    <row r="117" spans="1:9" ht="15" customHeight="1" x14ac:dyDescent="0.25">
      <c r="A117" s="5">
        <v>1085280973</v>
      </c>
      <c r="B117" s="3" t="s">
        <v>550</v>
      </c>
      <c r="C117" s="3" t="s">
        <v>551</v>
      </c>
      <c r="D117" s="3" t="s">
        <v>552</v>
      </c>
      <c r="E117" s="3" t="s">
        <v>223</v>
      </c>
      <c r="F117" s="3" t="s">
        <v>259</v>
      </c>
      <c r="G117" s="3" t="s">
        <v>260</v>
      </c>
      <c r="H117" s="4" t="s">
        <v>365</v>
      </c>
      <c r="I117" s="3"/>
    </row>
    <row r="118" spans="1:9" ht="15" customHeight="1" x14ac:dyDescent="0.25">
      <c r="A118" s="5">
        <v>87069155</v>
      </c>
      <c r="B118" s="3" t="s">
        <v>553</v>
      </c>
      <c r="C118" s="3" t="s">
        <v>554</v>
      </c>
      <c r="D118" s="3" t="s">
        <v>555</v>
      </c>
      <c r="E118" s="3" t="s">
        <v>223</v>
      </c>
      <c r="F118" s="3" t="s">
        <v>259</v>
      </c>
      <c r="G118" s="3" t="s">
        <v>260</v>
      </c>
      <c r="H118" s="4" t="s">
        <v>304</v>
      </c>
      <c r="I118" s="3"/>
    </row>
    <row r="119" spans="1:9" ht="15" customHeight="1" x14ac:dyDescent="0.25">
      <c r="A119" s="5">
        <v>27197578</v>
      </c>
      <c r="B119" s="3" t="s">
        <v>139</v>
      </c>
      <c r="C119" s="3" t="s">
        <v>556</v>
      </c>
      <c r="D119" s="3" t="s">
        <v>557</v>
      </c>
      <c r="E119" s="3" t="s">
        <v>223</v>
      </c>
      <c r="F119" s="3" t="s">
        <v>232</v>
      </c>
      <c r="G119" s="4" t="s">
        <v>23</v>
      </c>
      <c r="H119" s="4" t="s">
        <v>12</v>
      </c>
      <c r="I119" s="3"/>
    </row>
    <row r="120" spans="1:9" ht="15" customHeight="1" x14ac:dyDescent="0.25">
      <c r="A120" s="5">
        <v>1085301036</v>
      </c>
      <c r="B120" s="3" t="s">
        <v>558</v>
      </c>
      <c r="C120" s="3" t="s">
        <v>559</v>
      </c>
      <c r="D120" s="3" t="s">
        <v>560</v>
      </c>
      <c r="E120" s="3" t="s">
        <v>223</v>
      </c>
      <c r="F120" s="3" t="s">
        <v>259</v>
      </c>
      <c r="G120" s="3" t="s">
        <v>260</v>
      </c>
      <c r="H120" s="4" t="s">
        <v>87</v>
      </c>
      <c r="I120" s="3"/>
    </row>
    <row r="121" spans="1:9" ht="15" customHeight="1" x14ac:dyDescent="0.25">
      <c r="A121" s="5">
        <v>1010163224</v>
      </c>
      <c r="B121" s="3" t="s">
        <v>561</v>
      </c>
      <c r="C121" s="3" t="s">
        <v>562</v>
      </c>
      <c r="D121" s="3" t="s">
        <v>563</v>
      </c>
      <c r="E121" s="3" t="s">
        <v>223</v>
      </c>
      <c r="F121" s="3" t="s">
        <v>259</v>
      </c>
      <c r="G121" s="3" t="s">
        <v>260</v>
      </c>
      <c r="H121" s="4" t="s">
        <v>236</v>
      </c>
      <c r="I121" s="3"/>
    </row>
    <row r="122" spans="1:9" ht="15" customHeight="1" x14ac:dyDescent="0.25">
      <c r="A122" s="5">
        <v>27090810</v>
      </c>
      <c r="B122" s="3" t="s">
        <v>564</v>
      </c>
      <c r="C122" s="3" t="s">
        <v>565</v>
      </c>
      <c r="D122" s="3" t="s">
        <v>566</v>
      </c>
      <c r="E122" s="3" t="s">
        <v>223</v>
      </c>
      <c r="F122" s="3" t="s">
        <v>259</v>
      </c>
      <c r="G122" s="3" t="s">
        <v>260</v>
      </c>
      <c r="H122" s="4" t="s">
        <v>46</v>
      </c>
      <c r="I122" s="3"/>
    </row>
    <row r="123" spans="1:9" ht="15" customHeight="1" x14ac:dyDescent="0.25">
      <c r="A123" s="5">
        <v>5269885</v>
      </c>
      <c r="B123" s="3" t="s">
        <v>567</v>
      </c>
      <c r="C123" s="3" t="s">
        <v>568</v>
      </c>
      <c r="D123" s="3" t="s">
        <v>569</v>
      </c>
      <c r="E123" s="3" t="s">
        <v>218</v>
      </c>
      <c r="F123" s="3" t="s">
        <v>243</v>
      </c>
      <c r="G123" s="3" t="s">
        <v>54</v>
      </c>
      <c r="H123" s="4" t="s">
        <v>56</v>
      </c>
      <c r="I123" s="3"/>
    </row>
    <row r="124" spans="1:9" ht="15" customHeight="1" x14ac:dyDescent="0.25">
      <c r="A124" s="3"/>
      <c r="B124" s="3" t="s">
        <v>570</v>
      </c>
      <c r="C124" s="3" t="s">
        <v>410</v>
      </c>
      <c r="D124" s="3" t="s">
        <v>571</v>
      </c>
      <c r="E124" s="3" t="s">
        <v>223</v>
      </c>
      <c r="F124" s="3" t="s">
        <v>219</v>
      </c>
      <c r="G124" s="3"/>
      <c r="H124" s="4" t="s">
        <v>410</v>
      </c>
      <c r="I124" s="3"/>
    </row>
    <row r="125" spans="1:9" ht="15" customHeight="1" x14ac:dyDescent="0.25">
      <c r="A125" s="3"/>
      <c r="B125" s="3" t="s">
        <v>572</v>
      </c>
      <c r="C125" s="3" t="s">
        <v>573</v>
      </c>
      <c r="D125" s="3" t="s">
        <v>574</v>
      </c>
      <c r="E125" s="3" t="s">
        <v>223</v>
      </c>
      <c r="F125" s="3" t="s">
        <v>219</v>
      </c>
      <c r="G125" s="3"/>
      <c r="H125" s="4" t="s">
        <v>575</v>
      </c>
      <c r="I125" s="3"/>
    </row>
    <row r="126" spans="1:9" ht="15" customHeight="1" x14ac:dyDescent="0.25">
      <c r="A126" s="3"/>
      <c r="B126" s="3" t="s">
        <v>576</v>
      </c>
      <c r="C126" s="3" t="s">
        <v>253</v>
      </c>
      <c r="D126" s="3" t="s">
        <v>577</v>
      </c>
      <c r="E126" s="3" t="s">
        <v>223</v>
      </c>
      <c r="F126" s="3" t="s">
        <v>219</v>
      </c>
      <c r="G126" s="3"/>
      <c r="H126" s="4" t="s">
        <v>320</v>
      </c>
      <c r="I126" s="3"/>
    </row>
    <row r="127" spans="1:9" ht="15" customHeight="1" x14ac:dyDescent="0.25">
      <c r="A127" s="3"/>
      <c r="B127" s="3" t="s">
        <v>578</v>
      </c>
      <c r="C127" s="3" t="s">
        <v>579</v>
      </c>
      <c r="D127" s="3" t="s">
        <v>580</v>
      </c>
      <c r="E127" s="3" t="s">
        <v>223</v>
      </c>
      <c r="F127" s="3" t="s">
        <v>219</v>
      </c>
      <c r="G127" s="3"/>
      <c r="H127" s="4" t="s">
        <v>320</v>
      </c>
      <c r="I127" s="3"/>
    </row>
    <row r="128" spans="1:9" ht="15" customHeight="1" x14ac:dyDescent="0.25">
      <c r="A128" s="3"/>
      <c r="B128" s="3" t="s">
        <v>581</v>
      </c>
      <c r="C128" s="3" t="s">
        <v>573</v>
      </c>
      <c r="D128" s="3" t="s">
        <v>582</v>
      </c>
      <c r="E128" s="3" t="s">
        <v>223</v>
      </c>
      <c r="F128" s="3" t="s">
        <v>219</v>
      </c>
      <c r="G128" s="3"/>
      <c r="H128" s="4" t="s">
        <v>534</v>
      </c>
      <c r="I128" s="3"/>
    </row>
    <row r="129" spans="1:9" ht="15" customHeight="1" x14ac:dyDescent="0.25">
      <c r="A129" s="3"/>
      <c r="B129" s="3" t="s">
        <v>583</v>
      </c>
      <c r="C129" s="3" t="s">
        <v>24</v>
      </c>
      <c r="D129" s="3" t="s">
        <v>584</v>
      </c>
      <c r="E129" s="3" t="s">
        <v>218</v>
      </c>
      <c r="F129" s="3" t="s">
        <v>219</v>
      </c>
      <c r="G129" s="3"/>
      <c r="H129" s="4" t="s">
        <v>24</v>
      </c>
      <c r="I129" s="3"/>
    </row>
    <row r="130" spans="1:9" ht="15" customHeight="1" x14ac:dyDescent="0.25">
      <c r="A130" s="3"/>
      <c r="B130" s="3" t="s">
        <v>585</v>
      </c>
      <c r="C130" s="3" t="s">
        <v>573</v>
      </c>
      <c r="D130" s="3" t="s">
        <v>586</v>
      </c>
      <c r="E130" s="3" t="s">
        <v>223</v>
      </c>
      <c r="F130" s="3" t="s">
        <v>219</v>
      </c>
      <c r="G130" s="3"/>
      <c r="H130" s="4" t="s">
        <v>534</v>
      </c>
      <c r="I130" s="3"/>
    </row>
    <row r="131" spans="1:9" ht="15" customHeight="1" x14ac:dyDescent="0.25">
      <c r="A131" s="3"/>
      <c r="B131" s="3" t="s">
        <v>588</v>
      </c>
      <c r="C131" s="3" t="s">
        <v>589</v>
      </c>
      <c r="D131" s="3" t="s">
        <v>590</v>
      </c>
      <c r="E131" s="3" t="s">
        <v>223</v>
      </c>
      <c r="F131" s="3" t="s">
        <v>219</v>
      </c>
      <c r="G131" s="3"/>
      <c r="H131" s="4" t="s">
        <v>410</v>
      </c>
      <c r="I131" s="3"/>
    </row>
    <row r="132" spans="1:9" ht="15" customHeight="1" x14ac:dyDescent="0.25">
      <c r="A132" s="3"/>
      <c r="B132" s="3" t="s">
        <v>591</v>
      </c>
      <c r="C132" s="3" t="s">
        <v>592</v>
      </c>
      <c r="D132" s="3" t="s">
        <v>593</v>
      </c>
      <c r="E132" s="3" t="s">
        <v>223</v>
      </c>
      <c r="F132" s="3" t="s">
        <v>219</v>
      </c>
      <c r="G132" s="3"/>
      <c r="H132" s="4" t="s">
        <v>594</v>
      </c>
      <c r="I132" s="3"/>
    </row>
    <row r="133" spans="1:9" ht="15" customHeight="1" x14ac:dyDescent="0.25">
      <c r="A133" s="3"/>
      <c r="B133" s="3" t="s">
        <v>595</v>
      </c>
      <c r="C133" s="3" t="s">
        <v>596</v>
      </c>
      <c r="D133" s="3" t="s">
        <v>597</v>
      </c>
      <c r="E133" s="3" t="s">
        <v>223</v>
      </c>
      <c r="F133" s="3" t="s">
        <v>219</v>
      </c>
      <c r="G133" s="3"/>
      <c r="H133" s="4" t="s">
        <v>432</v>
      </c>
      <c r="I133" s="3"/>
    </row>
    <row r="134" spans="1:9" ht="15" customHeight="1" x14ac:dyDescent="0.25">
      <c r="A134" s="5">
        <v>98390706</v>
      </c>
      <c r="B134" s="3" t="s">
        <v>598</v>
      </c>
      <c r="C134" s="3" t="s">
        <v>596</v>
      </c>
      <c r="D134" s="3" t="s">
        <v>599</v>
      </c>
      <c r="E134" s="3" t="s">
        <v>223</v>
      </c>
      <c r="F134" s="3" t="s">
        <v>259</v>
      </c>
      <c r="G134" s="3" t="s">
        <v>260</v>
      </c>
      <c r="H134" s="4" t="s">
        <v>432</v>
      </c>
      <c r="I134" s="3"/>
    </row>
    <row r="135" spans="1:9" ht="15" customHeight="1" x14ac:dyDescent="0.25">
      <c r="A135" s="3"/>
      <c r="B135" s="3" t="s">
        <v>600</v>
      </c>
      <c r="C135" s="3" t="s">
        <v>596</v>
      </c>
      <c r="D135" s="3" t="s">
        <v>601</v>
      </c>
      <c r="E135" s="3" t="s">
        <v>223</v>
      </c>
      <c r="F135" s="3" t="s">
        <v>219</v>
      </c>
      <c r="G135" s="3"/>
      <c r="H135" s="4" t="s">
        <v>432</v>
      </c>
      <c r="I135" s="3"/>
    </row>
    <row r="136" spans="1:9" ht="15" customHeight="1" x14ac:dyDescent="0.25">
      <c r="A136" s="5">
        <v>1032443863</v>
      </c>
      <c r="B136" s="3" t="s">
        <v>602</v>
      </c>
      <c r="C136" s="3" t="s">
        <v>596</v>
      </c>
      <c r="D136" s="3" t="s">
        <v>603</v>
      </c>
      <c r="E136" s="3" t="s">
        <v>223</v>
      </c>
      <c r="F136" s="3" t="s">
        <v>259</v>
      </c>
      <c r="G136" s="3" t="s">
        <v>260</v>
      </c>
      <c r="H136" s="4" t="s">
        <v>432</v>
      </c>
      <c r="I136" s="3"/>
    </row>
    <row r="137" spans="1:9" ht="15" customHeight="1" x14ac:dyDescent="0.25">
      <c r="A137" s="3"/>
      <c r="B137" s="3" t="s">
        <v>604</v>
      </c>
      <c r="C137" s="3" t="s">
        <v>605</v>
      </c>
      <c r="D137" s="3" t="s">
        <v>606</v>
      </c>
      <c r="E137" s="3" t="s">
        <v>223</v>
      </c>
      <c r="F137" s="3" t="s">
        <v>219</v>
      </c>
      <c r="G137" s="3"/>
      <c r="H137" s="4" t="s">
        <v>10</v>
      </c>
      <c r="I137" s="3"/>
    </row>
    <row r="138" spans="1:9" ht="15" customHeight="1" x14ac:dyDescent="0.25">
      <c r="A138" s="3"/>
      <c r="B138" s="3" t="s">
        <v>408</v>
      </c>
      <c r="C138" s="3" t="s">
        <v>608</v>
      </c>
      <c r="D138" s="3" t="s">
        <v>609</v>
      </c>
      <c r="E138" s="3" t="s">
        <v>223</v>
      </c>
      <c r="F138" s="3" t="s">
        <v>219</v>
      </c>
      <c r="G138" s="3"/>
      <c r="H138" s="4" t="s">
        <v>357</v>
      </c>
      <c r="I138" s="3"/>
    </row>
    <row r="139" spans="1:9" ht="15" customHeight="1" x14ac:dyDescent="0.25">
      <c r="A139" s="3"/>
      <c r="B139" s="3" t="s">
        <v>610</v>
      </c>
      <c r="C139" s="3" t="s">
        <v>447</v>
      </c>
      <c r="D139" s="3" t="s">
        <v>611</v>
      </c>
      <c r="E139" s="3" t="s">
        <v>223</v>
      </c>
      <c r="F139" s="3" t="s">
        <v>219</v>
      </c>
      <c r="G139" s="3"/>
      <c r="H139" s="4" t="s">
        <v>429</v>
      </c>
      <c r="I139" s="3"/>
    </row>
    <row r="140" spans="1:9" ht="15" customHeight="1" x14ac:dyDescent="0.25">
      <c r="A140" s="3"/>
      <c r="B140" s="3" t="s">
        <v>206</v>
      </c>
      <c r="C140" s="3" t="s">
        <v>447</v>
      </c>
      <c r="D140" s="3" t="s">
        <v>612</v>
      </c>
      <c r="E140" s="3" t="s">
        <v>223</v>
      </c>
      <c r="F140" s="3" t="s">
        <v>219</v>
      </c>
      <c r="G140" s="3"/>
      <c r="H140" s="4" t="s">
        <v>613</v>
      </c>
      <c r="I140" s="3"/>
    </row>
    <row r="141" spans="1:9" ht="15" customHeight="1" x14ac:dyDescent="0.25">
      <c r="A141" s="3"/>
      <c r="B141" s="3" t="s">
        <v>614</v>
      </c>
      <c r="C141" s="3" t="s">
        <v>410</v>
      </c>
      <c r="D141" s="3" t="s">
        <v>615</v>
      </c>
      <c r="E141" s="3" t="s">
        <v>223</v>
      </c>
      <c r="F141" s="3" t="s">
        <v>219</v>
      </c>
      <c r="G141" s="3"/>
      <c r="H141" s="4" t="s">
        <v>410</v>
      </c>
      <c r="I141" s="3"/>
    </row>
    <row r="142" spans="1:9" ht="15" customHeight="1" x14ac:dyDescent="0.25">
      <c r="A142" s="3"/>
      <c r="B142" s="3" t="s">
        <v>616</v>
      </c>
      <c r="C142" s="3" t="s">
        <v>617</v>
      </c>
      <c r="D142" s="3" t="s">
        <v>618</v>
      </c>
      <c r="E142" s="3" t="s">
        <v>223</v>
      </c>
      <c r="F142" s="3" t="s">
        <v>219</v>
      </c>
      <c r="G142" s="3"/>
      <c r="H142" s="4" t="s">
        <v>87</v>
      </c>
      <c r="I142" s="3"/>
    </row>
    <row r="143" spans="1:9" ht="15" customHeight="1" x14ac:dyDescent="0.25">
      <c r="A143" s="3"/>
      <c r="B143" s="3" t="s">
        <v>620</v>
      </c>
      <c r="C143" s="3" t="s">
        <v>573</v>
      </c>
      <c r="D143" s="3" t="s">
        <v>621</v>
      </c>
      <c r="E143" s="3" t="s">
        <v>223</v>
      </c>
      <c r="F143" s="3" t="s">
        <v>219</v>
      </c>
      <c r="G143" s="3"/>
      <c r="H143" s="4" t="s">
        <v>281</v>
      </c>
      <c r="I143" s="3"/>
    </row>
    <row r="144" spans="1:9" ht="15" customHeight="1" x14ac:dyDescent="0.25">
      <c r="A144" s="3"/>
      <c r="B144" s="3" t="s">
        <v>622</v>
      </c>
      <c r="C144" s="3" t="s">
        <v>623</v>
      </c>
      <c r="D144" s="3" t="s">
        <v>624</v>
      </c>
      <c r="E144" s="3" t="s">
        <v>218</v>
      </c>
      <c r="F144" s="3" t="s">
        <v>219</v>
      </c>
      <c r="G144" s="3"/>
      <c r="H144" s="4" t="s">
        <v>166</v>
      </c>
      <c r="I144" s="3"/>
    </row>
    <row r="145" spans="1:9" ht="15" customHeight="1" x14ac:dyDescent="0.25">
      <c r="A145" s="3"/>
      <c r="B145" s="3" t="s">
        <v>626</v>
      </c>
      <c r="C145" s="3" t="s">
        <v>253</v>
      </c>
      <c r="D145" s="3" t="s">
        <v>627</v>
      </c>
      <c r="E145" s="3" t="s">
        <v>223</v>
      </c>
      <c r="F145" s="3" t="s">
        <v>219</v>
      </c>
      <c r="G145" s="3"/>
      <c r="H145" s="4" t="s">
        <v>626</v>
      </c>
      <c r="I145" s="3"/>
    </row>
    <row r="146" spans="1:9" ht="15" customHeight="1" x14ac:dyDescent="0.25">
      <c r="A146" s="3"/>
      <c r="B146" s="3" t="s">
        <v>629</v>
      </c>
      <c r="C146" s="3" t="s">
        <v>444</v>
      </c>
      <c r="D146" s="3" t="s">
        <v>630</v>
      </c>
      <c r="E146" s="3" t="s">
        <v>223</v>
      </c>
      <c r="F146" s="3" t="s">
        <v>219</v>
      </c>
      <c r="G146" s="3"/>
      <c r="H146" s="4" t="s">
        <v>56</v>
      </c>
      <c r="I146" s="3"/>
    </row>
    <row r="147" spans="1:9" ht="15" customHeight="1" x14ac:dyDescent="0.25">
      <c r="A147" s="5">
        <v>87068824</v>
      </c>
      <c r="B147" s="3" t="s">
        <v>7</v>
      </c>
      <c r="C147" s="3" t="s">
        <v>631</v>
      </c>
      <c r="D147" s="3" t="s">
        <v>632</v>
      </c>
      <c r="E147" s="3" t="s">
        <v>223</v>
      </c>
      <c r="F147" s="3" t="s">
        <v>243</v>
      </c>
      <c r="G147" s="4" t="s">
        <v>8</v>
      </c>
      <c r="H147" s="4" t="s">
        <v>377</v>
      </c>
      <c r="I147" s="3"/>
    </row>
    <row r="148" spans="1:9" ht="15" customHeight="1" x14ac:dyDescent="0.25">
      <c r="A148" s="5">
        <v>1018430008</v>
      </c>
      <c r="B148" s="3" t="s">
        <v>633</v>
      </c>
      <c r="C148" s="3" t="s">
        <v>33</v>
      </c>
      <c r="D148" s="3" t="s">
        <v>634</v>
      </c>
      <c r="E148" s="3" t="s">
        <v>223</v>
      </c>
      <c r="F148" s="3" t="s">
        <v>259</v>
      </c>
      <c r="G148" s="3" t="s">
        <v>260</v>
      </c>
      <c r="H148" s="4" t="s">
        <v>429</v>
      </c>
      <c r="I148" s="3"/>
    </row>
    <row r="149" spans="1:9" ht="15" customHeight="1" x14ac:dyDescent="0.25">
      <c r="A149" s="5">
        <v>87471563</v>
      </c>
      <c r="B149" s="3" t="s">
        <v>635</v>
      </c>
      <c r="C149" s="3" t="s">
        <v>636</v>
      </c>
      <c r="D149" s="3" t="s">
        <v>637</v>
      </c>
      <c r="E149" s="3" t="s">
        <v>223</v>
      </c>
      <c r="F149" s="3" t="s">
        <v>243</v>
      </c>
      <c r="G149" s="3" t="s">
        <v>638</v>
      </c>
      <c r="H149" s="4" t="s">
        <v>639</v>
      </c>
      <c r="I149" s="3"/>
    </row>
    <row r="150" spans="1:9" ht="15" customHeight="1" x14ac:dyDescent="0.25">
      <c r="A150" s="5">
        <v>1085305263</v>
      </c>
      <c r="B150" s="3" t="s">
        <v>640</v>
      </c>
      <c r="C150" s="3" t="s">
        <v>641</v>
      </c>
      <c r="D150" s="3" t="s">
        <v>642</v>
      </c>
      <c r="E150" s="3" t="s">
        <v>223</v>
      </c>
      <c r="F150" s="3" t="s">
        <v>259</v>
      </c>
      <c r="G150" s="3" t="s">
        <v>260</v>
      </c>
      <c r="H150" s="4" t="s">
        <v>397</v>
      </c>
      <c r="I150" s="3"/>
    </row>
    <row r="151" spans="1:9" ht="15" customHeight="1" x14ac:dyDescent="0.25">
      <c r="A151" s="5">
        <v>27255373</v>
      </c>
      <c r="B151" s="3" t="s">
        <v>643</v>
      </c>
      <c r="C151" s="3" t="s">
        <v>644</v>
      </c>
      <c r="D151" s="3" t="s">
        <v>645</v>
      </c>
      <c r="E151" s="3" t="s">
        <v>223</v>
      </c>
      <c r="F151" s="3" t="s">
        <v>259</v>
      </c>
      <c r="G151" s="3" t="s">
        <v>260</v>
      </c>
      <c r="H151" s="4" t="s">
        <v>281</v>
      </c>
      <c r="I151" s="3"/>
    </row>
    <row r="152" spans="1:9" ht="15" customHeight="1" x14ac:dyDescent="0.25">
      <c r="A152" s="5">
        <v>59675975</v>
      </c>
      <c r="B152" s="3" t="s">
        <v>646</v>
      </c>
      <c r="C152" s="3" t="s">
        <v>647</v>
      </c>
      <c r="D152" s="3" t="s">
        <v>648</v>
      </c>
      <c r="E152" s="3" t="s">
        <v>223</v>
      </c>
      <c r="F152" s="3" t="s">
        <v>259</v>
      </c>
      <c r="G152" s="3" t="s">
        <v>260</v>
      </c>
      <c r="H152" s="4" t="s">
        <v>270</v>
      </c>
      <c r="I152" s="3"/>
    </row>
    <row r="153" spans="1:9" ht="15" customHeight="1" x14ac:dyDescent="0.25">
      <c r="A153" s="5">
        <v>1085253492</v>
      </c>
      <c r="B153" s="3" t="s">
        <v>649</v>
      </c>
      <c r="C153" s="3" t="s">
        <v>650</v>
      </c>
      <c r="D153" s="3" t="s">
        <v>651</v>
      </c>
      <c r="E153" s="3" t="s">
        <v>218</v>
      </c>
      <c r="F153" s="3" t="s">
        <v>259</v>
      </c>
      <c r="G153" s="3" t="s">
        <v>260</v>
      </c>
      <c r="H153" s="4" t="s">
        <v>320</v>
      </c>
      <c r="I153" s="3"/>
    </row>
    <row r="154" spans="1:9" ht="15" customHeight="1" x14ac:dyDescent="0.25">
      <c r="A154" s="5">
        <v>1085256720</v>
      </c>
      <c r="B154" s="3" t="s">
        <v>649</v>
      </c>
      <c r="C154" s="3" t="s">
        <v>79</v>
      </c>
      <c r="D154" s="3" t="s">
        <v>652</v>
      </c>
      <c r="E154" s="3" t="s">
        <v>223</v>
      </c>
      <c r="F154" s="3" t="s">
        <v>259</v>
      </c>
      <c r="G154" s="3" t="s">
        <v>260</v>
      </c>
      <c r="H154" s="4" t="s">
        <v>653</v>
      </c>
      <c r="I154" s="3"/>
    </row>
    <row r="155" spans="1:9" ht="15" customHeight="1" x14ac:dyDescent="0.25">
      <c r="A155" s="5">
        <v>1089077393</v>
      </c>
      <c r="B155" s="3" t="s">
        <v>654</v>
      </c>
      <c r="C155" s="3" t="s">
        <v>655</v>
      </c>
      <c r="D155" s="3" t="s">
        <v>656</v>
      </c>
      <c r="E155" s="3" t="s">
        <v>223</v>
      </c>
      <c r="F155" s="3" t="s">
        <v>259</v>
      </c>
      <c r="G155" s="3" t="s">
        <v>260</v>
      </c>
      <c r="H155" s="4" t="s">
        <v>365</v>
      </c>
      <c r="I155" s="3"/>
    </row>
    <row r="156" spans="1:9" ht="15" customHeight="1" x14ac:dyDescent="0.25">
      <c r="A156" s="5">
        <v>1085338629</v>
      </c>
      <c r="B156" s="3" t="s">
        <v>657</v>
      </c>
      <c r="C156" s="3" t="s">
        <v>94</v>
      </c>
      <c r="D156" s="3" t="s">
        <v>658</v>
      </c>
      <c r="E156" s="3" t="s">
        <v>223</v>
      </c>
      <c r="F156" s="3" t="s">
        <v>259</v>
      </c>
      <c r="G156" s="3" t="s">
        <v>260</v>
      </c>
      <c r="H156" s="4" t="s">
        <v>263</v>
      </c>
      <c r="I156" s="3"/>
    </row>
    <row r="157" spans="1:9" ht="15" customHeight="1" x14ac:dyDescent="0.25">
      <c r="A157" s="5">
        <v>13040534</v>
      </c>
      <c r="B157" s="3" t="s">
        <v>74</v>
      </c>
      <c r="C157" s="3" t="s">
        <v>659</v>
      </c>
      <c r="D157" s="3" t="s">
        <v>660</v>
      </c>
      <c r="E157" s="3" t="s">
        <v>223</v>
      </c>
      <c r="F157" s="3" t="s">
        <v>661</v>
      </c>
      <c r="G157" s="3" t="s">
        <v>662</v>
      </c>
      <c r="H157" s="4" t="s">
        <v>663</v>
      </c>
      <c r="I157" s="3"/>
    </row>
    <row r="158" spans="1:9" ht="15" customHeight="1" x14ac:dyDescent="0.25">
      <c r="A158" s="5">
        <v>12753737</v>
      </c>
      <c r="B158" s="3" t="s">
        <v>664</v>
      </c>
      <c r="C158" s="3" t="s">
        <v>665</v>
      </c>
      <c r="D158" s="3" t="s">
        <v>666</v>
      </c>
      <c r="E158" s="3" t="s">
        <v>223</v>
      </c>
      <c r="F158" s="3" t="s">
        <v>259</v>
      </c>
      <c r="G158" s="3" t="s">
        <v>260</v>
      </c>
      <c r="H158" s="4" t="s">
        <v>667</v>
      </c>
      <c r="I158" s="3"/>
    </row>
    <row r="159" spans="1:9" ht="15" customHeight="1" x14ac:dyDescent="0.25">
      <c r="A159" s="5">
        <v>1086134783</v>
      </c>
      <c r="B159" s="3" t="s">
        <v>164</v>
      </c>
      <c r="C159" s="3" t="s">
        <v>668</v>
      </c>
      <c r="D159" s="3" t="s">
        <v>669</v>
      </c>
      <c r="E159" s="3" t="s">
        <v>223</v>
      </c>
      <c r="F159" s="3" t="s">
        <v>243</v>
      </c>
      <c r="G159" s="3" t="s">
        <v>452</v>
      </c>
      <c r="H159" s="4" t="s">
        <v>240</v>
      </c>
      <c r="I159" s="3"/>
    </row>
    <row r="160" spans="1:9" ht="15" customHeight="1" x14ac:dyDescent="0.25">
      <c r="A160" s="5">
        <v>1085264200</v>
      </c>
      <c r="B160" s="3" t="s">
        <v>670</v>
      </c>
      <c r="C160" s="3" t="s">
        <v>671</v>
      </c>
      <c r="D160" s="3" t="s">
        <v>672</v>
      </c>
      <c r="E160" s="3" t="s">
        <v>223</v>
      </c>
      <c r="F160" s="3" t="s">
        <v>259</v>
      </c>
      <c r="G160" s="3" t="s">
        <v>260</v>
      </c>
      <c r="H160" s="4" t="s">
        <v>42</v>
      </c>
      <c r="I160" s="3"/>
    </row>
    <row r="161" spans="1:9" ht="15" customHeight="1" x14ac:dyDescent="0.25">
      <c r="A161" s="5">
        <v>1089845567</v>
      </c>
      <c r="B161" s="3" t="s">
        <v>673</v>
      </c>
      <c r="C161" s="3" t="s">
        <v>674</v>
      </c>
      <c r="D161" s="3" t="s">
        <v>675</v>
      </c>
      <c r="E161" s="3" t="s">
        <v>223</v>
      </c>
      <c r="F161" s="3" t="s">
        <v>259</v>
      </c>
      <c r="G161" s="3" t="s">
        <v>260</v>
      </c>
      <c r="H161" s="4" t="s">
        <v>42</v>
      </c>
      <c r="I161" s="3"/>
    </row>
    <row r="162" spans="1:9" ht="15" customHeight="1" x14ac:dyDescent="0.25">
      <c r="A162" s="5">
        <v>98381245</v>
      </c>
      <c r="B162" s="3" t="s">
        <v>124</v>
      </c>
      <c r="C162" s="3" t="s">
        <v>676</v>
      </c>
      <c r="D162" s="3" t="s">
        <v>677</v>
      </c>
      <c r="E162" s="3" t="s">
        <v>223</v>
      </c>
      <c r="F162" s="3" t="s">
        <v>243</v>
      </c>
      <c r="G162" s="4" t="s">
        <v>81</v>
      </c>
      <c r="H162" s="4" t="s">
        <v>3</v>
      </c>
      <c r="I162" s="3"/>
    </row>
    <row r="163" spans="1:9" ht="15" customHeight="1" x14ac:dyDescent="0.25">
      <c r="A163" s="5">
        <v>1085291709</v>
      </c>
      <c r="B163" s="3" t="s">
        <v>678</v>
      </c>
      <c r="C163" s="3" t="s">
        <v>679</v>
      </c>
      <c r="D163" s="3" t="s">
        <v>680</v>
      </c>
      <c r="E163" s="3" t="s">
        <v>223</v>
      </c>
      <c r="F163" s="3" t="s">
        <v>259</v>
      </c>
      <c r="G163" s="3" t="s">
        <v>260</v>
      </c>
      <c r="H163" s="4" t="s">
        <v>263</v>
      </c>
      <c r="I163" s="3"/>
    </row>
    <row r="164" spans="1:9" ht="15" customHeight="1" x14ac:dyDescent="0.25">
      <c r="A164" s="5">
        <v>1085248255</v>
      </c>
      <c r="B164" s="3" t="s">
        <v>104</v>
      </c>
      <c r="C164" s="3" t="s">
        <v>681</v>
      </c>
      <c r="D164" s="3" t="s">
        <v>682</v>
      </c>
      <c r="E164" s="3" t="s">
        <v>223</v>
      </c>
      <c r="F164" s="3" t="s">
        <v>243</v>
      </c>
      <c r="G164" s="3" t="s">
        <v>662</v>
      </c>
      <c r="H164" s="4" t="s">
        <v>683</v>
      </c>
      <c r="I164" s="3"/>
    </row>
    <row r="165" spans="1:9" ht="15" customHeight="1" x14ac:dyDescent="0.25">
      <c r="A165" s="5">
        <v>87574963</v>
      </c>
      <c r="B165" s="3" t="s">
        <v>684</v>
      </c>
      <c r="C165" s="3" t="s">
        <v>685</v>
      </c>
      <c r="D165" s="3" t="s">
        <v>686</v>
      </c>
      <c r="E165" s="3" t="s">
        <v>223</v>
      </c>
      <c r="F165" s="3" t="s">
        <v>259</v>
      </c>
      <c r="G165" s="3" t="s">
        <v>260</v>
      </c>
      <c r="H165" s="4" t="s">
        <v>365</v>
      </c>
      <c r="I165" s="3"/>
    </row>
    <row r="166" spans="1:9" ht="15" customHeight="1" x14ac:dyDescent="0.25">
      <c r="A166" s="5">
        <v>36932070</v>
      </c>
      <c r="B166" s="3" t="s">
        <v>116</v>
      </c>
      <c r="C166" s="3" t="s">
        <v>687</v>
      </c>
      <c r="D166" s="3" t="s">
        <v>688</v>
      </c>
      <c r="E166" s="3" t="s">
        <v>223</v>
      </c>
      <c r="F166" s="3" t="s">
        <v>224</v>
      </c>
      <c r="G166" s="3" t="s">
        <v>452</v>
      </c>
      <c r="H166" s="4" t="s">
        <v>689</v>
      </c>
      <c r="I166" s="3"/>
    </row>
    <row r="167" spans="1:9" ht="15" customHeight="1" x14ac:dyDescent="0.25">
      <c r="A167" s="3"/>
      <c r="B167" s="3" t="s">
        <v>690</v>
      </c>
      <c r="C167" s="3" t="s">
        <v>447</v>
      </c>
      <c r="D167" s="3" t="s">
        <v>691</v>
      </c>
      <c r="E167" s="3" t="s">
        <v>223</v>
      </c>
      <c r="F167" s="3" t="s">
        <v>219</v>
      </c>
      <c r="G167" s="3"/>
      <c r="H167" s="4" t="s">
        <v>3</v>
      </c>
      <c r="I167" s="3"/>
    </row>
    <row r="168" spans="1:9" ht="15" customHeight="1" x14ac:dyDescent="0.25">
      <c r="A168" s="5">
        <v>1085262992</v>
      </c>
      <c r="B168" s="3" t="s">
        <v>204</v>
      </c>
      <c r="C168" s="3" t="s">
        <v>692</v>
      </c>
      <c r="D168" s="3" t="s">
        <v>693</v>
      </c>
      <c r="E168" s="3" t="s">
        <v>223</v>
      </c>
      <c r="F168" s="3" t="s">
        <v>243</v>
      </c>
      <c r="G168" s="4" t="s">
        <v>694</v>
      </c>
      <c r="H168" s="4" t="s">
        <v>240</v>
      </c>
      <c r="I168" s="3"/>
    </row>
    <row r="169" spans="1:9" ht="15" customHeight="1" x14ac:dyDescent="0.25">
      <c r="A169" s="5">
        <v>1082688302</v>
      </c>
      <c r="B169" s="3" t="s">
        <v>695</v>
      </c>
      <c r="C169" s="3" t="s">
        <v>696</v>
      </c>
      <c r="D169" s="3" t="s">
        <v>697</v>
      </c>
      <c r="E169" s="3" t="s">
        <v>223</v>
      </c>
      <c r="F169" s="3" t="s">
        <v>259</v>
      </c>
      <c r="G169" s="3" t="s">
        <v>260</v>
      </c>
      <c r="H169" s="4" t="s">
        <v>270</v>
      </c>
      <c r="I169" s="3"/>
    </row>
    <row r="170" spans="1:9" ht="15" customHeight="1" x14ac:dyDescent="0.25">
      <c r="A170" s="5">
        <v>1085298762</v>
      </c>
      <c r="B170" s="3" t="s">
        <v>698</v>
      </c>
      <c r="C170" s="3" t="s">
        <v>699</v>
      </c>
      <c r="D170" s="3" t="s">
        <v>700</v>
      </c>
      <c r="E170" s="3" t="s">
        <v>223</v>
      </c>
      <c r="F170" s="3" t="s">
        <v>259</v>
      </c>
      <c r="G170" s="3" t="s">
        <v>260</v>
      </c>
      <c r="H170" s="4" t="s">
        <v>365</v>
      </c>
      <c r="I170" s="3"/>
    </row>
    <row r="171" spans="1:9" ht="15" customHeight="1" x14ac:dyDescent="0.25">
      <c r="A171" s="5">
        <v>1085225982</v>
      </c>
      <c r="B171" s="3" t="s">
        <v>701</v>
      </c>
      <c r="C171" s="3" t="s">
        <v>60</v>
      </c>
      <c r="D171" s="3" t="s">
        <v>702</v>
      </c>
      <c r="E171" s="3" t="s">
        <v>223</v>
      </c>
      <c r="F171" s="3" t="s">
        <v>259</v>
      </c>
      <c r="G171" s="3" t="s">
        <v>260</v>
      </c>
      <c r="H171" s="4" t="s">
        <v>15</v>
      </c>
      <c r="I171" s="3"/>
    </row>
    <row r="172" spans="1:9" ht="15" customHeight="1" x14ac:dyDescent="0.25">
      <c r="A172" s="5">
        <v>31580498</v>
      </c>
      <c r="B172" s="3" t="s">
        <v>701</v>
      </c>
      <c r="C172" s="3" t="s">
        <v>703</v>
      </c>
      <c r="D172" s="3" t="s">
        <v>704</v>
      </c>
      <c r="E172" s="3" t="s">
        <v>223</v>
      </c>
      <c r="F172" s="3" t="s">
        <v>228</v>
      </c>
      <c r="G172" s="4" t="s">
        <v>225</v>
      </c>
      <c r="H172" s="4" t="s">
        <v>705</v>
      </c>
      <c r="I172" s="3"/>
    </row>
    <row r="173" spans="1:9" ht="15" customHeight="1" x14ac:dyDescent="0.25">
      <c r="A173" s="5">
        <v>1088729747</v>
      </c>
      <c r="B173" s="3" t="s">
        <v>706</v>
      </c>
      <c r="C173" s="3" t="s">
        <v>707</v>
      </c>
      <c r="D173" s="3" t="s">
        <v>708</v>
      </c>
      <c r="E173" s="3" t="s">
        <v>223</v>
      </c>
      <c r="F173" s="3" t="s">
        <v>259</v>
      </c>
      <c r="G173" s="3" t="s">
        <v>260</v>
      </c>
      <c r="H173" s="4" t="s">
        <v>46</v>
      </c>
      <c r="I173" s="3"/>
    </row>
    <row r="174" spans="1:9" ht="15" customHeight="1" x14ac:dyDescent="0.25">
      <c r="A174" s="5">
        <v>5281826</v>
      </c>
      <c r="B174" s="3" t="s">
        <v>100</v>
      </c>
      <c r="C174" s="3" t="s">
        <v>709</v>
      </c>
      <c r="D174" s="3" t="s">
        <v>710</v>
      </c>
      <c r="E174" s="3" t="s">
        <v>223</v>
      </c>
      <c r="F174" s="3" t="s">
        <v>224</v>
      </c>
      <c r="G174" s="4" t="s">
        <v>6</v>
      </c>
      <c r="H174" s="4" t="s">
        <v>42</v>
      </c>
      <c r="I174" s="3" t="s">
        <v>295</v>
      </c>
    </row>
    <row r="175" spans="1:9" ht="15" customHeight="1" x14ac:dyDescent="0.25">
      <c r="A175" s="5">
        <v>98391673</v>
      </c>
      <c r="B175" s="3" t="s">
        <v>152</v>
      </c>
      <c r="C175" s="3" t="s">
        <v>711</v>
      </c>
      <c r="D175" s="3" t="s">
        <v>712</v>
      </c>
      <c r="E175" s="3" t="s">
        <v>223</v>
      </c>
      <c r="F175" s="3" t="s">
        <v>243</v>
      </c>
      <c r="G175" s="4" t="s">
        <v>8</v>
      </c>
      <c r="H175" s="4" t="s">
        <v>713</v>
      </c>
      <c r="I175" s="3"/>
    </row>
    <row r="176" spans="1:9" ht="15" customHeight="1" x14ac:dyDescent="0.25">
      <c r="A176" s="3"/>
      <c r="B176" s="3" t="s">
        <v>714</v>
      </c>
      <c r="C176" s="3" t="s">
        <v>715</v>
      </c>
      <c r="D176" s="3" t="s">
        <v>716</v>
      </c>
      <c r="E176" s="3" t="s">
        <v>223</v>
      </c>
      <c r="F176" s="3" t="s">
        <v>219</v>
      </c>
      <c r="G176" s="3"/>
      <c r="H176" s="4" t="s">
        <v>397</v>
      </c>
      <c r="I176" s="3"/>
    </row>
    <row r="177" spans="1:9" ht="15" customHeight="1" x14ac:dyDescent="0.25">
      <c r="A177" s="3"/>
      <c r="B177" s="3" t="s">
        <v>717</v>
      </c>
      <c r="C177" s="3" t="s">
        <v>718</v>
      </c>
      <c r="D177" s="3" t="s">
        <v>625</v>
      </c>
      <c r="E177" s="3" t="s">
        <v>223</v>
      </c>
      <c r="F177" s="3" t="s">
        <v>219</v>
      </c>
      <c r="G177" s="3"/>
      <c r="H177" s="4" t="s">
        <v>166</v>
      </c>
      <c r="I177" s="3"/>
    </row>
    <row r="178" spans="1:9" ht="15" customHeight="1" x14ac:dyDescent="0.25">
      <c r="A178" s="3"/>
      <c r="B178" s="3" t="s">
        <v>719</v>
      </c>
      <c r="C178" s="3" t="s">
        <v>245</v>
      </c>
      <c r="D178" s="3" t="s">
        <v>720</v>
      </c>
      <c r="E178" s="3" t="s">
        <v>223</v>
      </c>
      <c r="F178" s="3" t="s">
        <v>219</v>
      </c>
      <c r="G178" s="3"/>
      <c r="H178" s="4" t="s">
        <v>247</v>
      </c>
      <c r="I178" s="3"/>
    </row>
    <row r="179" spans="1:9" ht="15" customHeight="1" x14ac:dyDescent="0.25">
      <c r="A179" s="5">
        <v>69006210</v>
      </c>
      <c r="B179" s="3" t="s">
        <v>69</v>
      </c>
      <c r="C179" s="3" t="s">
        <v>721</v>
      </c>
      <c r="D179" s="3" t="s">
        <v>722</v>
      </c>
      <c r="E179" s="3" t="s">
        <v>223</v>
      </c>
      <c r="F179" s="3" t="s">
        <v>243</v>
      </c>
      <c r="G179" s="4" t="s">
        <v>694</v>
      </c>
      <c r="H179" s="4" t="s">
        <v>270</v>
      </c>
      <c r="I179" s="3"/>
    </row>
    <row r="180" spans="1:9" ht="15" customHeight="1" x14ac:dyDescent="0.25">
      <c r="A180" s="5">
        <v>87068366</v>
      </c>
      <c r="B180" s="3" t="s">
        <v>723</v>
      </c>
      <c r="C180" s="3" t="s">
        <v>724</v>
      </c>
      <c r="D180" s="3" t="s">
        <v>725</v>
      </c>
      <c r="E180" s="3" t="s">
        <v>223</v>
      </c>
      <c r="F180" s="3" t="s">
        <v>259</v>
      </c>
      <c r="G180" s="3" t="s">
        <v>260</v>
      </c>
      <c r="H180" s="4" t="s">
        <v>46</v>
      </c>
      <c r="I180" s="3"/>
    </row>
    <row r="181" spans="1:9" ht="15" customHeight="1" x14ac:dyDescent="0.25">
      <c r="A181" s="5">
        <v>12971178</v>
      </c>
      <c r="B181" s="3" t="s">
        <v>122</v>
      </c>
      <c r="C181" s="3" t="s">
        <v>726</v>
      </c>
      <c r="D181" s="3" t="s">
        <v>727</v>
      </c>
      <c r="E181" s="3" t="s">
        <v>223</v>
      </c>
      <c r="F181" s="3" t="s">
        <v>243</v>
      </c>
      <c r="G181" s="4" t="s">
        <v>8</v>
      </c>
      <c r="H181" s="4" t="s">
        <v>728</v>
      </c>
      <c r="I181" s="3"/>
    </row>
    <row r="182" spans="1:9" ht="15" customHeight="1" x14ac:dyDescent="0.25">
      <c r="A182" s="5">
        <v>1085256327</v>
      </c>
      <c r="B182" s="3" t="s">
        <v>729</v>
      </c>
      <c r="C182" s="3" t="s">
        <v>730</v>
      </c>
      <c r="D182" s="3" t="s">
        <v>731</v>
      </c>
      <c r="E182" s="3" t="s">
        <v>223</v>
      </c>
      <c r="F182" s="3" t="s">
        <v>259</v>
      </c>
      <c r="G182" s="3" t="s">
        <v>260</v>
      </c>
      <c r="H182" s="4" t="s">
        <v>46</v>
      </c>
      <c r="I182" s="3"/>
    </row>
    <row r="183" spans="1:9" ht="15" customHeight="1" x14ac:dyDescent="0.25">
      <c r="A183" s="5">
        <v>1085293531</v>
      </c>
      <c r="B183" s="3" t="s">
        <v>732</v>
      </c>
      <c r="C183" s="3" t="s">
        <v>733</v>
      </c>
      <c r="D183" s="3" t="s">
        <v>734</v>
      </c>
      <c r="E183" s="3" t="s">
        <v>223</v>
      </c>
      <c r="F183" s="3" t="s">
        <v>259</v>
      </c>
      <c r="G183" s="3" t="s">
        <v>260</v>
      </c>
      <c r="H183" s="4" t="s">
        <v>87</v>
      </c>
      <c r="I183" s="3"/>
    </row>
    <row r="184" spans="1:9" ht="15" customHeight="1" x14ac:dyDescent="0.25">
      <c r="A184" s="5">
        <v>1088268754</v>
      </c>
      <c r="B184" s="3" t="s">
        <v>735</v>
      </c>
      <c r="C184" s="3" t="s">
        <v>736</v>
      </c>
      <c r="D184" s="3" t="s">
        <v>737</v>
      </c>
      <c r="E184" s="3" t="s">
        <v>223</v>
      </c>
      <c r="F184" s="3" t="s">
        <v>259</v>
      </c>
      <c r="G184" s="3" t="s">
        <v>260</v>
      </c>
      <c r="H184" s="4" t="s">
        <v>339</v>
      </c>
      <c r="I184" s="3"/>
    </row>
    <row r="185" spans="1:9" ht="15" customHeight="1" x14ac:dyDescent="0.25">
      <c r="A185" s="5">
        <v>5316672</v>
      </c>
      <c r="B185" s="3" t="s">
        <v>167</v>
      </c>
      <c r="C185" s="3" t="s">
        <v>738</v>
      </c>
      <c r="D185" s="3" t="s">
        <v>739</v>
      </c>
      <c r="E185" s="3" t="s">
        <v>223</v>
      </c>
      <c r="F185" s="3" t="s">
        <v>243</v>
      </c>
      <c r="G185" s="4" t="s">
        <v>8</v>
      </c>
      <c r="H185" s="4" t="s">
        <v>740</v>
      </c>
      <c r="I185" s="3"/>
    </row>
    <row r="186" spans="1:9" ht="15" customHeight="1" x14ac:dyDescent="0.25">
      <c r="A186" s="5">
        <v>1085256774</v>
      </c>
      <c r="B186" s="3" t="s">
        <v>741</v>
      </c>
      <c r="C186" s="3" t="s">
        <v>742</v>
      </c>
      <c r="D186" s="3" t="s">
        <v>743</v>
      </c>
      <c r="E186" s="3" t="s">
        <v>223</v>
      </c>
      <c r="F186" s="3" t="s">
        <v>259</v>
      </c>
      <c r="G186" s="3" t="s">
        <v>260</v>
      </c>
      <c r="H186" s="4" t="s">
        <v>683</v>
      </c>
      <c r="I186" s="3"/>
    </row>
    <row r="187" spans="1:9" ht="15" customHeight="1" x14ac:dyDescent="0.25">
      <c r="A187" s="5">
        <v>27309206</v>
      </c>
      <c r="B187" s="3" t="s">
        <v>745</v>
      </c>
      <c r="C187" s="3" t="s">
        <v>746</v>
      </c>
      <c r="D187" s="3" t="s">
        <v>747</v>
      </c>
      <c r="E187" s="3" t="s">
        <v>223</v>
      </c>
      <c r="F187" s="3" t="s">
        <v>259</v>
      </c>
      <c r="G187" s="3" t="s">
        <v>260</v>
      </c>
      <c r="H187" s="4" t="s">
        <v>626</v>
      </c>
      <c r="I187" s="3"/>
    </row>
    <row r="188" spans="1:9" ht="15" customHeight="1" x14ac:dyDescent="0.25">
      <c r="A188" s="5">
        <v>1085273901</v>
      </c>
      <c r="B188" s="3" t="s">
        <v>748</v>
      </c>
      <c r="C188" s="3" t="s">
        <v>749</v>
      </c>
      <c r="D188" s="3" t="s">
        <v>750</v>
      </c>
      <c r="E188" s="3" t="s">
        <v>223</v>
      </c>
      <c r="F188" s="3" t="s">
        <v>259</v>
      </c>
      <c r="G188" s="3" t="s">
        <v>260</v>
      </c>
      <c r="H188" s="4" t="s">
        <v>166</v>
      </c>
      <c r="I188" s="3"/>
    </row>
    <row r="189" spans="1:9" ht="15" customHeight="1" x14ac:dyDescent="0.25">
      <c r="A189" s="5">
        <v>12991074</v>
      </c>
      <c r="B189" s="3" t="s">
        <v>117</v>
      </c>
      <c r="C189" s="3" t="s">
        <v>751</v>
      </c>
      <c r="D189" s="3" t="s">
        <v>752</v>
      </c>
      <c r="E189" s="3" t="s">
        <v>223</v>
      </c>
      <c r="F189" s="3" t="s">
        <v>753</v>
      </c>
      <c r="G189" s="4" t="s">
        <v>754</v>
      </c>
      <c r="H189" s="4" t="s">
        <v>357</v>
      </c>
      <c r="I189" s="3" t="s">
        <v>408</v>
      </c>
    </row>
    <row r="190" spans="1:9" ht="15" customHeight="1" x14ac:dyDescent="0.25">
      <c r="A190" s="5">
        <v>1089459243</v>
      </c>
      <c r="B190" s="3" t="s">
        <v>755</v>
      </c>
      <c r="C190" s="3" t="s">
        <v>38</v>
      </c>
      <c r="D190" s="3" t="s">
        <v>756</v>
      </c>
      <c r="E190" s="3" t="s">
        <v>223</v>
      </c>
      <c r="F190" s="3" t="s">
        <v>259</v>
      </c>
      <c r="G190" s="3" t="s">
        <v>260</v>
      </c>
      <c r="H190" s="4" t="s">
        <v>365</v>
      </c>
      <c r="I190" s="3"/>
    </row>
    <row r="191" spans="1:9" ht="15" customHeight="1" x14ac:dyDescent="0.25">
      <c r="A191" s="5">
        <v>12747728</v>
      </c>
      <c r="B191" s="3" t="s">
        <v>757</v>
      </c>
      <c r="C191" s="3" t="s">
        <v>758</v>
      </c>
      <c r="D191" s="3" t="s">
        <v>759</v>
      </c>
      <c r="E191" s="3" t="s">
        <v>223</v>
      </c>
      <c r="F191" s="3" t="s">
        <v>259</v>
      </c>
      <c r="G191" s="3" t="s">
        <v>260</v>
      </c>
      <c r="H191" s="4" t="s">
        <v>304</v>
      </c>
      <c r="I191" s="3"/>
    </row>
    <row r="192" spans="1:9" ht="15" customHeight="1" x14ac:dyDescent="0.25">
      <c r="A192" s="5">
        <v>98396813</v>
      </c>
      <c r="B192" s="3" t="s">
        <v>760</v>
      </c>
      <c r="C192" s="3" t="s">
        <v>761</v>
      </c>
      <c r="D192" s="3" t="s">
        <v>762</v>
      </c>
      <c r="E192" s="3" t="s">
        <v>223</v>
      </c>
      <c r="F192" s="3" t="s">
        <v>259</v>
      </c>
      <c r="G192" s="3" t="s">
        <v>260</v>
      </c>
      <c r="H192" s="4" t="s">
        <v>365</v>
      </c>
      <c r="I192" s="3"/>
    </row>
    <row r="193" spans="1:9" ht="15" customHeight="1" x14ac:dyDescent="0.25">
      <c r="A193" s="5">
        <v>1085247074</v>
      </c>
      <c r="B193" s="3" t="s">
        <v>37</v>
      </c>
      <c r="C193" s="3" t="s">
        <v>763</v>
      </c>
      <c r="D193" s="3" t="s">
        <v>764</v>
      </c>
      <c r="E193" s="3" t="s">
        <v>223</v>
      </c>
      <c r="F193" s="3" t="s">
        <v>765</v>
      </c>
      <c r="G193" s="3" t="s">
        <v>766</v>
      </c>
      <c r="H193" s="4" t="s">
        <v>429</v>
      </c>
      <c r="I193" s="3"/>
    </row>
    <row r="194" spans="1:9" ht="15" customHeight="1" x14ac:dyDescent="0.25">
      <c r="A194" s="5">
        <v>12994068</v>
      </c>
      <c r="B194" s="3" t="s">
        <v>767</v>
      </c>
      <c r="C194" s="3" t="s">
        <v>768</v>
      </c>
      <c r="D194" s="3" t="s">
        <v>769</v>
      </c>
      <c r="E194" s="3" t="s">
        <v>223</v>
      </c>
      <c r="F194" s="3" t="s">
        <v>259</v>
      </c>
      <c r="G194" s="3" t="s">
        <v>260</v>
      </c>
      <c r="H194" s="4" t="s">
        <v>15</v>
      </c>
      <c r="I194" s="3"/>
    </row>
    <row r="195" spans="1:9" ht="15" customHeight="1" x14ac:dyDescent="0.25">
      <c r="A195" s="5">
        <v>12986151</v>
      </c>
      <c r="B195" s="3" t="s">
        <v>40</v>
      </c>
      <c r="C195" s="3" t="s">
        <v>770</v>
      </c>
      <c r="D195" s="3" t="s">
        <v>771</v>
      </c>
      <c r="E195" s="3" t="s">
        <v>223</v>
      </c>
      <c r="F195" s="3" t="s">
        <v>224</v>
      </c>
      <c r="G195" s="4" t="s">
        <v>772</v>
      </c>
      <c r="H195" s="4" t="s">
        <v>270</v>
      </c>
      <c r="I195" s="3"/>
    </row>
    <row r="196" spans="1:9" ht="15" customHeight="1" x14ac:dyDescent="0.25">
      <c r="A196" s="5">
        <v>59816400</v>
      </c>
      <c r="B196" s="3" t="s">
        <v>103</v>
      </c>
      <c r="C196" s="3" t="s">
        <v>773</v>
      </c>
      <c r="D196" s="3" t="s">
        <v>774</v>
      </c>
      <c r="E196" s="3" t="s">
        <v>223</v>
      </c>
      <c r="F196" s="3" t="s">
        <v>232</v>
      </c>
      <c r="G196" s="4" t="s">
        <v>6</v>
      </c>
      <c r="H196" s="4" t="s">
        <v>281</v>
      </c>
      <c r="I196" s="3"/>
    </row>
    <row r="197" spans="1:9" ht="15" customHeight="1" x14ac:dyDescent="0.25">
      <c r="A197" s="5">
        <v>30732829</v>
      </c>
      <c r="B197" s="3" t="s">
        <v>775</v>
      </c>
      <c r="C197" s="3" t="s">
        <v>776</v>
      </c>
      <c r="D197" s="3" t="s">
        <v>777</v>
      </c>
      <c r="E197" s="3" t="s">
        <v>223</v>
      </c>
      <c r="F197" s="3" t="s">
        <v>232</v>
      </c>
      <c r="G197" s="4" t="s">
        <v>225</v>
      </c>
      <c r="H197" s="4" t="s">
        <v>12</v>
      </c>
      <c r="I197" s="3"/>
    </row>
    <row r="198" spans="1:9" ht="15" customHeight="1" x14ac:dyDescent="0.25">
      <c r="A198" s="5">
        <v>27090958</v>
      </c>
      <c r="B198" s="3" t="s">
        <v>778</v>
      </c>
      <c r="C198" s="3" t="s">
        <v>779</v>
      </c>
      <c r="D198" s="3" t="s">
        <v>780</v>
      </c>
      <c r="E198" s="3" t="s">
        <v>223</v>
      </c>
      <c r="F198" s="3" t="s">
        <v>259</v>
      </c>
      <c r="G198" s="3" t="s">
        <v>260</v>
      </c>
      <c r="H198" s="4" t="s">
        <v>531</v>
      </c>
      <c r="I198" s="3"/>
    </row>
    <row r="199" spans="1:9" ht="15" customHeight="1" x14ac:dyDescent="0.25">
      <c r="A199" s="5">
        <v>27432482</v>
      </c>
      <c r="B199" s="3" t="s">
        <v>781</v>
      </c>
      <c r="C199" s="3" t="s">
        <v>782</v>
      </c>
      <c r="D199" s="3" t="s">
        <v>783</v>
      </c>
      <c r="E199" s="3" t="s">
        <v>223</v>
      </c>
      <c r="F199" s="3" t="s">
        <v>243</v>
      </c>
      <c r="G199" s="3" t="s">
        <v>784</v>
      </c>
      <c r="H199" s="4" t="s">
        <v>667</v>
      </c>
      <c r="I199" s="3"/>
    </row>
    <row r="200" spans="1:9" ht="15" customHeight="1" x14ac:dyDescent="0.25">
      <c r="A200" s="5">
        <v>27229346</v>
      </c>
      <c r="B200" s="3" t="s">
        <v>138</v>
      </c>
      <c r="C200" s="3" t="s">
        <v>785</v>
      </c>
      <c r="D200" s="3" t="s">
        <v>786</v>
      </c>
      <c r="E200" s="3" t="s">
        <v>223</v>
      </c>
      <c r="F200" s="3" t="s">
        <v>243</v>
      </c>
      <c r="G200" s="4" t="s">
        <v>694</v>
      </c>
      <c r="H200" s="4" t="s">
        <v>410</v>
      </c>
      <c r="I200" s="3"/>
    </row>
    <row r="201" spans="1:9" ht="15" customHeight="1" x14ac:dyDescent="0.25">
      <c r="A201" s="5">
        <v>59819117</v>
      </c>
      <c r="B201" s="3" t="s">
        <v>107</v>
      </c>
      <c r="C201" s="3" t="s">
        <v>787</v>
      </c>
      <c r="D201" s="3" t="s">
        <v>788</v>
      </c>
      <c r="E201" s="3" t="s">
        <v>223</v>
      </c>
      <c r="F201" s="3" t="s">
        <v>228</v>
      </c>
      <c r="G201" s="4" t="s">
        <v>23</v>
      </c>
      <c r="H201" s="4" t="s">
        <v>410</v>
      </c>
      <c r="I201" s="3"/>
    </row>
    <row r="202" spans="1:9" ht="15" customHeight="1" x14ac:dyDescent="0.25">
      <c r="A202" s="5">
        <v>30721776</v>
      </c>
      <c r="B202" s="3" t="s">
        <v>180</v>
      </c>
      <c r="C202" s="3" t="s">
        <v>33</v>
      </c>
      <c r="D202" s="3" t="s">
        <v>789</v>
      </c>
      <c r="E202" s="3" t="s">
        <v>223</v>
      </c>
      <c r="F202" s="3" t="s">
        <v>232</v>
      </c>
      <c r="G202" s="4" t="s">
        <v>6</v>
      </c>
      <c r="H202" s="4" t="s">
        <v>24</v>
      </c>
      <c r="I202" s="3" t="s">
        <v>790</v>
      </c>
    </row>
    <row r="203" spans="1:9" ht="15" customHeight="1" x14ac:dyDescent="0.25">
      <c r="A203" s="5">
        <v>1085314087</v>
      </c>
      <c r="B203" s="3" t="s">
        <v>791</v>
      </c>
      <c r="C203" s="3" t="s">
        <v>792</v>
      </c>
      <c r="D203" s="3" t="s">
        <v>793</v>
      </c>
      <c r="E203" s="3" t="s">
        <v>223</v>
      </c>
      <c r="F203" s="3" t="s">
        <v>259</v>
      </c>
      <c r="G203" s="3" t="s">
        <v>260</v>
      </c>
      <c r="H203" s="4" t="s">
        <v>3</v>
      </c>
      <c r="I203" s="3"/>
    </row>
    <row r="204" spans="1:9" ht="15" customHeight="1" x14ac:dyDescent="0.25">
      <c r="A204" s="5">
        <v>66988540</v>
      </c>
      <c r="B204" s="3" t="s">
        <v>61</v>
      </c>
      <c r="C204" s="3" t="s">
        <v>794</v>
      </c>
      <c r="D204" s="3" t="s">
        <v>587</v>
      </c>
      <c r="E204" s="3" t="s">
        <v>223</v>
      </c>
      <c r="F204" s="3" t="s">
        <v>228</v>
      </c>
      <c r="G204" s="4" t="s">
        <v>225</v>
      </c>
      <c r="H204" s="4" t="s">
        <v>534</v>
      </c>
      <c r="I204" s="3"/>
    </row>
    <row r="205" spans="1:9" ht="15" customHeight="1" x14ac:dyDescent="0.25">
      <c r="A205" s="5">
        <v>12747156</v>
      </c>
      <c r="B205" s="3" t="s">
        <v>795</v>
      </c>
      <c r="C205" s="3" t="s">
        <v>796</v>
      </c>
      <c r="D205" s="3" t="s">
        <v>797</v>
      </c>
      <c r="E205" s="3" t="s">
        <v>223</v>
      </c>
      <c r="F205" s="3" t="s">
        <v>228</v>
      </c>
      <c r="G205" s="4" t="s">
        <v>798</v>
      </c>
      <c r="H205" s="4" t="s">
        <v>799</v>
      </c>
      <c r="I205" s="3"/>
    </row>
    <row r="206" spans="1:9" ht="15" customHeight="1" x14ac:dyDescent="0.25">
      <c r="A206" s="5">
        <v>12962882</v>
      </c>
      <c r="B206" s="3" t="s">
        <v>800</v>
      </c>
      <c r="C206" s="3" t="s">
        <v>801</v>
      </c>
      <c r="D206" s="3" t="s">
        <v>802</v>
      </c>
      <c r="E206" s="3" t="s">
        <v>223</v>
      </c>
      <c r="F206" s="3" t="s">
        <v>219</v>
      </c>
      <c r="G206" s="4" t="s">
        <v>803</v>
      </c>
      <c r="H206" s="4" t="s">
        <v>804</v>
      </c>
      <c r="I206" s="3"/>
    </row>
    <row r="207" spans="1:9" ht="15" customHeight="1" x14ac:dyDescent="0.25">
      <c r="A207" s="5">
        <v>30730955</v>
      </c>
      <c r="B207" s="3" t="s">
        <v>161</v>
      </c>
      <c r="C207" s="3" t="s">
        <v>805</v>
      </c>
      <c r="D207" s="3" t="s">
        <v>806</v>
      </c>
      <c r="E207" s="3" t="s">
        <v>223</v>
      </c>
      <c r="F207" s="3" t="s">
        <v>224</v>
      </c>
      <c r="G207" s="4" t="s">
        <v>225</v>
      </c>
      <c r="H207" s="4" t="s">
        <v>42</v>
      </c>
      <c r="I207" s="3"/>
    </row>
    <row r="208" spans="1:9" ht="15" customHeight="1" x14ac:dyDescent="0.25">
      <c r="A208" s="3"/>
      <c r="B208" s="3" t="s">
        <v>807</v>
      </c>
      <c r="C208" s="3" t="s">
        <v>808</v>
      </c>
      <c r="D208" s="3" t="s">
        <v>809</v>
      </c>
      <c r="E208" s="3" t="s">
        <v>223</v>
      </c>
      <c r="F208" s="3" t="s">
        <v>219</v>
      </c>
      <c r="G208" s="3"/>
      <c r="H208" s="4" t="s">
        <v>810</v>
      </c>
      <c r="I208" s="3"/>
    </row>
    <row r="209" spans="1:9" ht="15" customHeight="1" x14ac:dyDescent="0.25">
      <c r="A209" s="5">
        <v>1085265358</v>
      </c>
      <c r="B209" s="3" t="s">
        <v>811</v>
      </c>
      <c r="C209" s="3" t="s">
        <v>812</v>
      </c>
      <c r="D209" s="3" t="s">
        <v>813</v>
      </c>
      <c r="E209" s="3" t="s">
        <v>223</v>
      </c>
      <c r="F209" s="3" t="s">
        <v>259</v>
      </c>
      <c r="G209" s="3" t="s">
        <v>260</v>
      </c>
      <c r="H209" s="4" t="s">
        <v>814</v>
      </c>
      <c r="I209" s="3"/>
    </row>
    <row r="210" spans="1:9" ht="15" customHeight="1" x14ac:dyDescent="0.25">
      <c r="A210" s="5">
        <v>27297190</v>
      </c>
      <c r="B210" s="3" t="s">
        <v>190</v>
      </c>
      <c r="C210" s="3" t="s">
        <v>815</v>
      </c>
      <c r="D210" s="3" t="s">
        <v>816</v>
      </c>
      <c r="E210" s="3" t="s">
        <v>223</v>
      </c>
      <c r="F210" s="3" t="s">
        <v>243</v>
      </c>
      <c r="G210" s="4" t="s">
        <v>225</v>
      </c>
      <c r="H210" s="4" t="s">
        <v>323</v>
      </c>
      <c r="I210" s="3"/>
    </row>
    <row r="211" spans="1:9" ht="15" customHeight="1" x14ac:dyDescent="0.25">
      <c r="A211" s="3"/>
      <c r="B211" s="3" t="s">
        <v>817</v>
      </c>
      <c r="C211" s="3" t="s">
        <v>466</v>
      </c>
      <c r="D211" s="3" t="s">
        <v>818</v>
      </c>
      <c r="E211" s="3" t="s">
        <v>223</v>
      </c>
      <c r="F211" s="3" t="s">
        <v>219</v>
      </c>
      <c r="G211" s="3"/>
      <c r="H211" s="4" t="s">
        <v>10</v>
      </c>
      <c r="I211" s="3"/>
    </row>
    <row r="212" spans="1:9" ht="15" customHeight="1" x14ac:dyDescent="0.25">
      <c r="A212" s="5">
        <v>98356391</v>
      </c>
      <c r="B212" s="3" t="s">
        <v>118</v>
      </c>
      <c r="C212" s="3" t="s">
        <v>819</v>
      </c>
      <c r="D212" s="3" t="s">
        <v>820</v>
      </c>
      <c r="E212" s="3" t="s">
        <v>223</v>
      </c>
      <c r="F212" s="3" t="s">
        <v>243</v>
      </c>
      <c r="G212" s="3" t="s">
        <v>54</v>
      </c>
      <c r="H212" s="4" t="s">
        <v>821</v>
      </c>
      <c r="I212" s="3"/>
    </row>
    <row r="213" spans="1:9" ht="15" customHeight="1" x14ac:dyDescent="0.25">
      <c r="A213" s="5">
        <v>98387412</v>
      </c>
      <c r="B213" s="3" t="s">
        <v>95</v>
      </c>
      <c r="C213" s="3" t="s">
        <v>822</v>
      </c>
      <c r="D213" s="3" t="s">
        <v>823</v>
      </c>
      <c r="E213" s="3" t="s">
        <v>223</v>
      </c>
      <c r="F213" s="3" t="s">
        <v>243</v>
      </c>
      <c r="G213" s="3" t="s">
        <v>35</v>
      </c>
      <c r="H213" s="4" t="s">
        <v>3</v>
      </c>
      <c r="I213" s="3"/>
    </row>
    <row r="214" spans="1:9" ht="15" customHeight="1" x14ac:dyDescent="0.25">
      <c r="A214" s="5">
        <v>71382933</v>
      </c>
      <c r="B214" s="3" t="s">
        <v>824</v>
      </c>
      <c r="C214" s="3" t="s">
        <v>825</v>
      </c>
      <c r="D214" s="3" t="s">
        <v>826</v>
      </c>
      <c r="E214" s="3" t="s">
        <v>223</v>
      </c>
      <c r="F214" s="3" t="s">
        <v>259</v>
      </c>
      <c r="G214" s="3" t="s">
        <v>260</v>
      </c>
      <c r="H214" s="4" t="s">
        <v>46</v>
      </c>
      <c r="I214" s="3"/>
    </row>
    <row r="215" spans="1:9" ht="15" customHeight="1" x14ac:dyDescent="0.25">
      <c r="A215" s="5">
        <v>87060112</v>
      </c>
      <c r="B215" s="3" t="s">
        <v>147</v>
      </c>
      <c r="C215" s="3" t="s">
        <v>827</v>
      </c>
      <c r="D215" s="3" t="s">
        <v>828</v>
      </c>
      <c r="E215" s="3" t="s">
        <v>223</v>
      </c>
      <c r="F215" s="3" t="s">
        <v>259</v>
      </c>
      <c r="G215" s="3" t="s">
        <v>260</v>
      </c>
      <c r="H215" s="4" t="s">
        <v>42</v>
      </c>
      <c r="I215" s="3"/>
    </row>
    <row r="216" spans="1:9" ht="15" customHeight="1" x14ac:dyDescent="0.25">
      <c r="A216" s="5">
        <v>1085294279</v>
      </c>
      <c r="B216" s="3" t="s">
        <v>829</v>
      </c>
      <c r="C216" s="3" t="s">
        <v>830</v>
      </c>
      <c r="D216" s="3" t="s">
        <v>831</v>
      </c>
      <c r="E216" s="3" t="s">
        <v>223</v>
      </c>
      <c r="F216" s="3" t="s">
        <v>259</v>
      </c>
      <c r="G216" s="3" t="s">
        <v>260</v>
      </c>
      <c r="H216" s="4" t="s">
        <v>46</v>
      </c>
      <c r="I216" s="3"/>
    </row>
    <row r="217" spans="1:9" ht="15" customHeight="1" x14ac:dyDescent="0.25">
      <c r="A217" s="3"/>
      <c r="B217" s="3" t="s">
        <v>832</v>
      </c>
      <c r="C217" s="3" t="s">
        <v>245</v>
      </c>
      <c r="D217" s="3" t="s">
        <v>833</v>
      </c>
      <c r="E217" s="3" t="s">
        <v>223</v>
      </c>
      <c r="F217" s="3" t="s">
        <v>219</v>
      </c>
      <c r="G217" s="3"/>
      <c r="H217" s="4" t="s">
        <v>247</v>
      </c>
      <c r="I217" s="3"/>
    </row>
    <row r="218" spans="1:9" ht="15" customHeight="1" x14ac:dyDescent="0.25">
      <c r="A218" s="5">
        <v>30720167</v>
      </c>
      <c r="B218" s="3" t="s">
        <v>125</v>
      </c>
      <c r="C218" s="3" t="s">
        <v>834</v>
      </c>
      <c r="D218" s="3" t="s">
        <v>835</v>
      </c>
      <c r="E218" s="3" t="s">
        <v>223</v>
      </c>
      <c r="F218" s="3" t="s">
        <v>224</v>
      </c>
      <c r="G218" s="4" t="s">
        <v>6</v>
      </c>
      <c r="H218" s="4" t="s">
        <v>44</v>
      </c>
      <c r="I218" s="3"/>
    </row>
    <row r="219" spans="1:9" ht="15" customHeight="1" x14ac:dyDescent="0.25">
      <c r="A219" s="5">
        <v>30716266</v>
      </c>
      <c r="B219" s="3" t="s">
        <v>836</v>
      </c>
      <c r="C219" s="3" t="s">
        <v>837</v>
      </c>
      <c r="D219" s="3" t="s">
        <v>838</v>
      </c>
      <c r="E219" s="3" t="s">
        <v>223</v>
      </c>
      <c r="F219" s="3" t="s">
        <v>232</v>
      </c>
      <c r="G219" s="4" t="s">
        <v>50</v>
      </c>
      <c r="H219" s="4" t="s">
        <v>46</v>
      </c>
      <c r="I219" s="3"/>
    </row>
    <row r="220" spans="1:9" ht="15" customHeight="1" x14ac:dyDescent="0.25">
      <c r="A220" s="5">
        <v>87065949</v>
      </c>
      <c r="B220" s="3" t="s">
        <v>839</v>
      </c>
      <c r="C220" s="3" t="s">
        <v>840</v>
      </c>
      <c r="D220" s="3" t="s">
        <v>841</v>
      </c>
      <c r="E220" s="3" t="s">
        <v>223</v>
      </c>
      <c r="F220" s="3" t="s">
        <v>243</v>
      </c>
      <c r="G220" s="4" t="s">
        <v>81</v>
      </c>
      <c r="H220" s="4" t="s">
        <v>312</v>
      </c>
      <c r="I220" s="3"/>
    </row>
    <row r="221" spans="1:9" ht="15" customHeight="1" x14ac:dyDescent="0.25">
      <c r="A221" s="5">
        <v>12987961</v>
      </c>
      <c r="B221" s="3" t="s">
        <v>839</v>
      </c>
      <c r="C221" s="3" t="s">
        <v>842</v>
      </c>
      <c r="D221" s="3" t="s">
        <v>843</v>
      </c>
      <c r="E221" s="3" t="s">
        <v>223</v>
      </c>
      <c r="F221" s="3" t="s">
        <v>224</v>
      </c>
      <c r="G221" s="4" t="s">
        <v>6</v>
      </c>
      <c r="H221" s="4" t="s">
        <v>304</v>
      </c>
      <c r="I221" s="3"/>
    </row>
    <row r="222" spans="1:9" ht="15" customHeight="1" x14ac:dyDescent="0.25">
      <c r="A222" s="5">
        <v>1085276910</v>
      </c>
      <c r="B222" s="3" t="s">
        <v>71</v>
      </c>
      <c r="C222" s="3" t="s">
        <v>844</v>
      </c>
      <c r="D222" s="3" t="s">
        <v>845</v>
      </c>
      <c r="E222" s="3" t="s">
        <v>223</v>
      </c>
      <c r="F222" s="3" t="s">
        <v>243</v>
      </c>
      <c r="G222" s="4" t="s">
        <v>8</v>
      </c>
      <c r="H222" s="4" t="s">
        <v>295</v>
      </c>
      <c r="I222" s="3"/>
    </row>
    <row r="223" spans="1:9" ht="15" customHeight="1" x14ac:dyDescent="0.25">
      <c r="A223" s="5">
        <v>13063405</v>
      </c>
      <c r="B223" s="3" t="s">
        <v>193</v>
      </c>
      <c r="C223" s="3" t="s">
        <v>846</v>
      </c>
      <c r="D223" s="3" t="s">
        <v>847</v>
      </c>
      <c r="E223" s="3" t="s">
        <v>223</v>
      </c>
      <c r="F223" s="3" t="s">
        <v>224</v>
      </c>
      <c r="G223" s="4" t="s">
        <v>6</v>
      </c>
      <c r="H223" s="4" t="s">
        <v>46</v>
      </c>
      <c r="I223" s="3"/>
    </row>
    <row r="224" spans="1:9" ht="15" customHeight="1" x14ac:dyDescent="0.25">
      <c r="A224" s="5">
        <v>5206870</v>
      </c>
      <c r="B224" s="3" t="s">
        <v>848</v>
      </c>
      <c r="C224" s="3" t="s">
        <v>849</v>
      </c>
      <c r="D224" s="3" t="s">
        <v>850</v>
      </c>
      <c r="E224" s="3" t="s">
        <v>223</v>
      </c>
      <c r="F224" s="3" t="s">
        <v>259</v>
      </c>
      <c r="G224" s="3" t="s">
        <v>260</v>
      </c>
      <c r="H224" s="4" t="s">
        <v>851</v>
      </c>
      <c r="I224" s="3"/>
    </row>
    <row r="225" spans="1:9" ht="15" customHeight="1" x14ac:dyDescent="0.25">
      <c r="A225" s="5">
        <v>12987458</v>
      </c>
      <c r="B225" s="3" t="s">
        <v>852</v>
      </c>
      <c r="C225" s="3" t="s">
        <v>853</v>
      </c>
      <c r="D225" s="3" t="s">
        <v>854</v>
      </c>
      <c r="E225" s="3" t="s">
        <v>223</v>
      </c>
      <c r="F225" s="3" t="s">
        <v>224</v>
      </c>
      <c r="G225" s="4" t="s">
        <v>855</v>
      </c>
      <c r="H225" s="4" t="s">
        <v>10</v>
      </c>
      <c r="I225" s="3"/>
    </row>
    <row r="226" spans="1:9" ht="15" customHeight="1" x14ac:dyDescent="0.25">
      <c r="A226" s="5">
        <v>12975932</v>
      </c>
      <c r="B226" s="3" t="s">
        <v>169</v>
      </c>
      <c r="C226" s="3" t="s">
        <v>856</v>
      </c>
      <c r="D226" s="3" t="s">
        <v>857</v>
      </c>
      <c r="E226" s="3" t="s">
        <v>223</v>
      </c>
      <c r="F226" s="3" t="s">
        <v>224</v>
      </c>
      <c r="G226" s="4" t="s">
        <v>6</v>
      </c>
      <c r="H226" s="4" t="s">
        <v>15</v>
      </c>
      <c r="I226" s="3"/>
    </row>
    <row r="227" spans="1:9" ht="15" customHeight="1" x14ac:dyDescent="0.25">
      <c r="A227" s="5">
        <v>5292347</v>
      </c>
      <c r="B227" s="3" t="s">
        <v>858</v>
      </c>
      <c r="C227" s="3" t="s">
        <v>859</v>
      </c>
      <c r="D227" s="3" t="s">
        <v>860</v>
      </c>
      <c r="E227" s="3" t="s">
        <v>223</v>
      </c>
      <c r="F227" s="3" t="s">
        <v>243</v>
      </c>
      <c r="G227" s="3" t="s">
        <v>35</v>
      </c>
      <c r="H227" s="4" t="s">
        <v>3</v>
      </c>
      <c r="I227" s="3"/>
    </row>
    <row r="228" spans="1:9" ht="15" customHeight="1" x14ac:dyDescent="0.25">
      <c r="A228" s="5">
        <v>6254330</v>
      </c>
      <c r="B228" s="3" t="s">
        <v>861</v>
      </c>
      <c r="C228" s="3" t="s">
        <v>862</v>
      </c>
      <c r="D228" s="3" t="s">
        <v>863</v>
      </c>
      <c r="E228" s="3" t="s">
        <v>223</v>
      </c>
      <c r="F228" s="3" t="s">
        <v>259</v>
      </c>
      <c r="G228" s="3" t="s">
        <v>260</v>
      </c>
      <c r="H228" s="4" t="s">
        <v>320</v>
      </c>
      <c r="I228" s="3"/>
    </row>
    <row r="229" spans="1:9" ht="15" customHeight="1" x14ac:dyDescent="0.25">
      <c r="A229" s="5">
        <v>87069038</v>
      </c>
      <c r="B229" s="3" t="s">
        <v>864</v>
      </c>
      <c r="C229" s="3" t="s">
        <v>865</v>
      </c>
      <c r="D229" s="3" t="s">
        <v>866</v>
      </c>
      <c r="E229" s="3" t="s">
        <v>223</v>
      </c>
      <c r="F229" s="3" t="s">
        <v>260</v>
      </c>
      <c r="G229" s="3" t="s">
        <v>259</v>
      </c>
      <c r="H229" s="4" t="s">
        <v>24</v>
      </c>
      <c r="I229" s="3"/>
    </row>
    <row r="230" spans="1:9" ht="15" customHeight="1" x14ac:dyDescent="0.25">
      <c r="A230" s="3"/>
      <c r="B230" s="3" t="s">
        <v>867</v>
      </c>
      <c r="C230" s="3" t="s">
        <v>466</v>
      </c>
      <c r="D230" s="3" t="s">
        <v>868</v>
      </c>
      <c r="E230" s="3" t="s">
        <v>223</v>
      </c>
      <c r="F230" s="3" t="s">
        <v>219</v>
      </c>
      <c r="G230" s="3"/>
      <c r="H230" s="3" t="s">
        <v>10</v>
      </c>
      <c r="I230" s="3"/>
    </row>
    <row r="231" spans="1:9" ht="15" customHeight="1" x14ac:dyDescent="0.25">
      <c r="A231" s="3"/>
      <c r="B231" s="3" t="s">
        <v>869</v>
      </c>
      <c r="C231" s="3" t="s">
        <v>410</v>
      </c>
      <c r="D231" s="3" t="s">
        <v>870</v>
      </c>
      <c r="E231" s="3" t="s">
        <v>223</v>
      </c>
      <c r="F231" s="3" t="s">
        <v>219</v>
      </c>
      <c r="G231" s="3"/>
      <c r="H231" s="4" t="s">
        <v>410</v>
      </c>
      <c r="I231" s="3"/>
    </row>
    <row r="232" spans="1:9" ht="15" customHeight="1" x14ac:dyDescent="0.25">
      <c r="A232" s="5">
        <v>36951253</v>
      </c>
      <c r="B232" s="3" t="s">
        <v>871</v>
      </c>
      <c r="C232" s="3" t="s">
        <v>3</v>
      </c>
      <c r="D232" s="3" t="s">
        <v>872</v>
      </c>
      <c r="E232" s="3" t="s">
        <v>223</v>
      </c>
      <c r="F232" s="3" t="s">
        <v>219</v>
      </c>
      <c r="G232" s="4" t="s">
        <v>873</v>
      </c>
      <c r="H232" s="4" t="s">
        <v>3</v>
      </c>
      <c r="I232" s="3"/>
    </row>
    <row r="233" spans="1:9" ht="15" customHeight="1" x14ac:dyDescent="0.25">
      <c r="A233" s="5">
        <v>59829119</v>
      </c>
      <c r="B233" s="3" t="s">
        <v>874</v>
      </c>
      <c r="C233" s="3" t="s">
        <v>201</v>
      </c>
      <c r="D233" s="3" t="s">
        <v>875</v>
      </c>
      <c r="E233" s="3" t="s">
        <v>223</v>
      </c>
      <c r="F233" s="3" t="s">
        <v>228</v>
      </c>
      <c r="G233" s="4" t="s">
        <v>11</v>
      </c>
      <c r="H233" s="4" t="s">
        <v>442</v>
      </c>
      <c r="I233" s="3"/>
    </row>
    <row r="234" spans="1:9" ht="15" customHeight="1" x14ac:dyDescent="0.25">
      <c r="A234" s="5">
        <v>36757912</v>
      </c>
      <c r="B234" s="3" t="s">
        <v>876</v>
      </c>
      <c r="C234" s="3" t="s">
        <v>877</v>
      </c>
      <c r="D234" s="3" t="s">
        <v>878</v>
      </c>
      <c r="E234" s="3" t="s">
        <v>223</v>
      </c>
      <c r="F234" s="3" t="s">
        <v>259</v>
      </c>
      <c r="G234" s="3" t="s">
        <v>260</v>
      </c>
      <c r="H234" s="4" t="s">
        <v>236</v>
      </c>
      <c r="I234" s="3"/>
    </row>
    <row r="235" spans="1:9" ht="15" customHeight="1" x14ac:dyDescent="0.25">
      <c r="A235" s="5">
        <v>36951501</v>
      </c>
      <c r="B235" s="3" t="s">
        <v>879</v>
      </c>
      <c r="C235" s="3" t="s">
        <v>880</v>
      </c>
      <c r="D235" s="3" t="s">
        <v>881</v>
      </c>
      <c r="E235" s="3" t="s">
        <v>223</v>
      </c>
      <c r="F235" s="3" t="s">
        <v>259</v>
      </c>
      <c r="G235" s="3" t="s">
        <v>260</v>
      </c>
      <c r="H235" s="4" t="s">
        <v>87</v>
      </c>
      <c r="I235" s="3"/>
    </row>
    <row r="236" spans="1:9" ht="15" customHeight="1" x14ac:dyDescent="0.25">
      <c r="A236" s="5">
        <v>37081016</v>
      </c>
      <c r="B236" s="3" t="s">
        <v>128</v>
      </c>
      <c r="C236" s="3" t="s">
        <v>882</v>
      </c>
      <c r="D236" s="3" t="s">
        <v>883</v>
      </c>
      <c r="E236" s="3" t="s">
        <v>223</v>
      </c>
      <c r="F236" s="3" t="s">
        <v>228</v>
      </c>
      <c r="G236" s="4" t="s">
        <v>225</v>
      </c>
      <c r="H236" s="4" t="s">
        <v>304</v>
      </c>
      <c r="I236" s="3"/>
    </row>
    <row r="237" spans="1:9" ht="15" customHeight="1" x14ac:dyDescent="0.25">
      <c r="A237" s="5">
        <v>30716755</v>
      </c>
      <c r="B237" s="3" t="s">
        <v>175</v>
      </c>
      <c r="C237" s="3" t="s">
        <v>884</v>
      </c>
      <c r="D237" s="3" t="s">
        <v>885</v>
      </c>
      <c r="E237" s="3" t="s">
        <v>223</v>
      </c>
      <c r="F237" s="3" t="s">
        <v>224</v>
      </c>
      <c r="G237" s="4" t="s">
        <v>6</v>
      </c>
      <c r="H237" s="4" t="s">
        <v>42</v>
      </c>
      <c r="I237" s="3"/>
    </row>
    <row r="238" spans="1:9" ht="15" customHeight="1" x14ac:dyDescent="0.25">
      <c r="A238" s="5">
        <v>59823170</v>
      </c>
      <c r="B238" s="3" t="s">
        <v>886</v>
      </c>
      <c r="C238" s="3" t="s">
        <v>26</v>
      </c>
      <c r="D238" s="3" t="s">
        <v>887</v>
      </c>
      <c r="E238" s="3" t="s">
        <v>223</v>
      </c>
      <c r="F238" s="3" t="s">
        <v>888</v>
      </c>
      <c r="G238" s="4" t="s">
        <v>225</v>
      </c>
      <c r="H238" s="4" t="s">
        <v>10</v>
      </c>
      <c r="I238" s="3"/>
    </row>
    <row r="239" spans="1:9" ht="15" customHeight="1" x14ac:dyDescent="0.25">
      <c r="A239" s="5">
        <v>1004131706</v>
      </c>
      <c r="B239" s="3" t="s">
        <v>889</v>
      </c>
      <c r="C239" s="3" t="s">
        <v>890</v>
      </c>
      <c r="D239" s="3" t="s">
        <v>891</v>
      </c>
      <c r="E239" s="3" t="s">
        <v>223</v>
      </c>
      <c r="F239" s="3" t="s">
        <v>259</v>
      </c>
      <c r="G239" s="3" t="s">
        <v>260</v>
      </c>
      <c r="H239" s="4" t="s">
        <v>166</v>
      </c>
      <c r="I239" s="3"/>
    </row>
    <row r="240" spans="1:9" ht="15" customHeight="1" x14ac:dyDescent="0.25">
      <c r="A240" s="5">
        <v>30728605</v>
      </c>
      <c r="B240" s="3" t="s">
        <v>120</v>
      </c>
      <c r="C240" s="3" t="s">
        <v>892</v>
      </c>
      <c r="D240" s="3" t="s">
        <v>893</v>
      </c>
      <c r="E240" s="3" t="s">
        <v>223</v>
      </c>
      <c r="F240" s="3" t="s">
        <v>224</v>
      </c>
      <c r="G240" s="4" t="s">
        <v>23</v>
      </c>
      <c r="H240" s="4" t="s">
        <v>894</v>
      </c>
      <c r="I240" s="3"/>
    </row>
    <row r="241" spans="1:9" ht="15" customHeight="1" x14ac:dyDescent="0.25">
      <c r="A241" s="3"/>
      <c r="B241" s="3" t="s">
        <v>895</v>
      </c>
      <c r="C241" s="3" t="s">
        <v>249</v>
      </c>
      <c r="D241" s="3" t="s">
        <v>896</v>
      </c>
      <c r="E241" s="3" t="s">
        <v>223</v>
      </c>
      <c r="F241" s="3" t="s">
        <v>219</v>
      </c>
      <c r="G241" s="3"/>
      <c r="H241" s="4" t="s">
        <v>24</v>
      </c>
      <c r="I241" s="3"/>
    </row>
    <row r="242" spans="1:9" ht="15" customHeight="1" x14ac:dyDescent="0.25">
      <c r="A242" s="5">
        <v>12982116</v>
      </c>
      <c r="B242" s="3" t="s">
        <v>897</v>
      </c>
      <c r="C242" s="3" t="s">
        <v>898</v>
      </c>
      <c r="D242" s="3" t="s">
        <v>899</v>
      </c>
      <c r="E242" s="3" t="s">
        <v>223</v>
      </c>
      <c r="F242" s="3" t="s">
        <v>259</v>
      </c>
      <c r="G242" s="3" t="s">
        <v>260</v>
      </c>
      <c r="H242" s="4" t="s">
        <v>166</v>
      </c>
      <c r="I242" s="3"/>
    </row>
    <row r="243" spans="1:9" ht="15" customHeight="1" x14ac:dyDescent="0.25">
      <c r="A243" s="5">
        <v>79632964</v>
      </c>
      <c r="B243" s="3" t="s">
        <v>900</v>
      </c>
      <c r="C243" s="3" t="s">
        <v>901</v>
      </c>
      <c r="D243" s="3" t="s">
        <v>902</v>
      </c>
      <c r="E243" s="3" t="s">
        <v>223</v>
      </c>
      <c r="F243" s="3" t="s">
        <v>259</v>
      </c>
      <c r="G243" s="3" t="s">
        <v>260</v>
      </c>
      <c r="H243" s="4" t="s">
        <v>331</v>
      </c>
      <c r="I243" s="3"/>
    </row>
    <row r="244" spans="1:9" ht="15" customHeight="1" x14ac:dyDescent="0.25">
      <c r="A244" s="5">
        <v>12993320</v>
      </c>
      <c r="B244" s="3" t="s">
        <v>903</v>
      </c>
      <c r="C244" s="3" t="s">
        <v>904</v>
      </c>
      <c r="D244" s="3" t="s">
        <v>905</v>
      </c>
      <c r="E244" s="3" t="s">
        <v>223</v>
      </c>
      <c r="F244" s="3" t="s">
        <v>224</v>
      </c>
      <c r="G244" s="4" t="s">
        <v>6</v>
      </c>
      <c r="H244" s="4" t="s">
        <v>10</v>
      </c>
      <c r="I244" s="3"/>
    </row>
    <row r="245" spans="1:9" ht="15" customHeight="1" x14ac:dyDescent="0.25">
      <c r="A245" s="3"/>
      <c r="B245" s="3" t="s">
        <v>906</v>
      </c>
      <c r="C245" s="3" t="s">
        <v>907</v>
      </c>
      <c r="D245" s="3" t="s">
        <v>908</v>
      </c>
      <c r="E245" s="3" t="s">
        <v>223</v>
      </c>
      <c r="F245" s="3" t="s">
        <v>219</v>
      </c>
      <c r="G245" s="3"/>
      <c r="H245" s="4" t="s">
        <v>247</v>
      </c>
      <c r="I245" s="3"/>
    </row>
    <row r="246" spans="1:9" ht="15" customHeight="1" x14ac:dyDescent="0.25">
      <c r="A246" s="3"/>
      <c r="B246" s="3" t="s">
        <v>909</v>
      </c>
      <c r="C246" s="3" t="s">
        <v>608</v>
      </c>
      <c r="D246" s="3" t="s">
        <v>910</v>
      </c>
      <c r="E246" s="3" t="s">
        <v>223</v>
      </c>
      <c r="F246" s="3" t="s">
        <v>219</v>
      </c>
      <c r="G246" s="3"/>
      <c r="H246" s="4" t="s">
        <v>17</v>
      </c>
      <c r="I246" s="3"/>
    </row>
    <row r="247" spans="1:9" ht="15" customHeight="1" x14ac:dyDescent="0.25">
      <c r="A247" s="5">
        <v>12981637</v>
      </c>
      <c r="B247" s="3" t="s">
        <v>141</v>
      </c>
      <c r="C247" s="3" t="s">
        <v>911</v>
      </c>
      <c r="D247" s="3" t="s">
        <v>912</v>
      </c>
      <c r="E247" s="3" t="s">
        <v>223</v>
      </c>
      <c r="F247" s="3" t="s">
        <v>224</v>
      </c>
      <c r="G247" s="4" t="s">
        <v>142</v>
      </c>
      <c r="H247" s="4" t="s">
        <v>46</v>
      </c>
      <c r="I247" s="3"/>
    </row>
    <row r="248" spans="1:9" ht="15" customHeight="1" x14ac:dyDescent="0.25">
      <c r="A248" s="5">
        <v>1085281806</v>
      </c>
      <c r="B248" s="3" t="s">
        <v>913</v>
      </c>
      <c r="C248" s="3" t="s">
        <v>914</v>
      </c>
      <c r="D248" s="3" t="s">
        <v>915</v>
      </c>
      <c r="E248" s="3" t="s">
        <v>223</v>
      </c>
      <c r="F248" s="3" t="s">
        <v>259</v>
      </c>
      <c r="G248" s="3" t="s">
        <v>260</v>
      </c>
      <c r="H248" s="4" t="s">
        <v>365</v>
      </c>
      <c r="I248" s="3"/>
    </row>
    <row r="249" spans="1:9" ht="15" customHeight="1" x14ac:dyDescent="0.25">
      <c r="A249" s="5">
        <v>87060342</v>
      </c>
      <c r="B249" s="3" t="s">
        <v>916</v>
      </c>
      <c r="C249" s="3" t="s">
        <v>917</v>
      </c>
      <c r="D249" s="3" t="s">
        <v>918</v>
      </c>
      <c r="E249" s="3" t="s">
        <v>223</v>
      </c>
      <c r="F249" s="3" t="s">
        <v>259</v>
      </c>
      <c r="G249" s="3" t="s">
        <v>260</v>
      </c>
      <c r="H249" s="4" t="s">
        <v>42</v>
      </c>
      <c r="I249" s="3"/>
    </row>
    <row r="250" spans="1:9" ht="15" customHeight="1" x14ac:dyDescent="0.25">
      <c r="A250" s="5">
        <v>16698417</v>
      </c>
      <c r="B250" s="3" t="s">
        <v>919</v>
      </c>
      <c r="C250" s="3" t="s">
        <v>920</v>
      </c>
      <c r="D250" s="3" t="s">
        <v>921</v>
      </c>
      <c r="E250" s="3" t="s">
        <v>223</v>
      </c>
      <c r="F250" s="3" t="s">
        <v>259</v>
      </c>
      <c r="G250" s="3" t="s">
        <v>260</v>
      </c>
      <c r="H250" s="4" t="s">
        <v>263</v>
      </c>
      <c r="I250" s="3"/>
    </row>
    <row r="251" spans="1:9" ht="15" customHeight="1" x14ac:dyDescent="0.25">
      <c r="A251" s="5">
        <v>87452384</v>
      </c>
      <c r="B251" s="3" t="s">
        <v>922</v>
      </c>
      <c r="C251" s="3" t="s">
        <v>923</v>
      </c>
      <c r="D251" s="3" t="s">
        <v>924</v>
      </c>
      <c r="E251" s="3" t="s">
        <v>223</v>
      </c>
      <c r="F251" s="3" t="s">
        <v>259</v>
      </c>
      <c r="G251" s="3" t="s">
        <v>260</v>
      </c>
      <c r="H251" s="4" t="s">
        <v>236</v>
      </c>
      <c r="I251" s="3"/>
    </row>
    <row r="252" spans="1:9" ht="15" customHeight="1" x14ac:dyDescent="0.25">
      <c r="A252" s="5">
        <v>12979339</v>
      </c>
      <c r="B252" s="3" t="s">
        <v>925</v>
      </c>
      <c r="C252" s="3" t="s">
        <v>926</v>
      </c>
      <c r="D252" s="3" t="s">
        <v>927</v>
      </c>
      <c r="E252" s="3" t="s">
        <v>223</v>
      </c>
      <c r="F252" s="3" t="s">
        <v>259</v>
      </c>
      <c r="G252" s="3" t="s">
        <v>260</v>
      </c>
      <c r="H252" s="4" t="s">
        <v>46</v>
      </c>
      <c r="I252" s="3"/>
    </row>
    <row r="253" spans="1:9" ht="15" customHeight="1" x14ac:dyDescent="0.25">
      <c r="A253" s="3"/>
      <c r="B253" s="3" t="s">
        <v>928</v>
      </c>
      <c r="C253" s="3" t="s">
        <v>444</v>
      </c>
      <c r="D253" s="3" t="s">
        <v>929</v>
      </c>
      <c r="E253" s="3" t="s">
        <v>223</v>
      </c>
      <c r="F253" s="3" t="s">
        <v>219</v>
      </c>
      <c r="G253" s="3"/>
      <c r="H253" s="4" t="s">
        <v>240</v>
      </c>
      <c r="I253" s="3"/>
    </row>
    <row r="254" spans="1:9" ht="15" customHeight="1" x14ac:dyDescent="0.25">
      <c r="A254" s="3"/>
      <c r="B254" s="3" t="s">
        <v>930</v>
      </c>
      <c r="C254" s="3" t="s">
        <v>245</v>
      </c>
      <c r="D254" s="3" t="s">
        <v>931</v>
      </c>
      <c r="E254" s="3" t="s">
        <v>223</v>
      </c>
      <c r="F254" s="3" t="s">
        <v>219</v>
      </c>
      <c r="G254" s="3"/>
      <c r="H254" s="4" t="s">
        <v>247</v>
      </c>
      <c r="I254" s="3"/>
    </row>
    <row r="255" spans="1:9" ht="15" customHeight="1" x14ac:dyDescent="0.25">
      <c r="A255" s="3"/>
      <c r="B255" s="3" t="s">
        <v>932</v>
      </c>
      <c r="C255" s="3" t="s">
        <v>933</v>
      </c>
      <c r="D255" s="3" t="s">
        <v>934</v>
      </c>
      <c r="E255" s="3" t="s">
        <v>218</v>
      </c>
      <c r="F255" s="3" t="s">
        <v>219</v>
      </c>
      <c r="G255" s="3"/>
      <c r="H255" s="4" t="s">
        <v>365</v>
      </c>
      <c r="I255" s="3"/>
    </row>
    <row r="256" spans="1:9" ht="15" customHeight="1" x14ac:dyDescent="0.25">
      <c r="A256" s="3"/>
      <c r="B256" s="3" t="s">
        <v>935</v>
      </c>
      <c r="C256" s="3" t="s">
        <v>573</v>
      </c>
      <c r="D256" s="3" t="s">
        <v>936</v>
      </c>
      <c r="E256" s="3" t="s">
        <v>223</v>
      </c>
      <c r="F256" s="3" t="s">
        <v>219</v>
      </c>
      <c r="G256" s="3"/>
      <c r="H256" s="4" t="s">
        <v>46</v>
      </c>
      <c r="I256" s="3"/>
    </row>
    <row r="257" spans="1:9" ht="15" customHeight="1" x14ac:dyDescent="0.25">
      <c r="A257" s="5">
        <v>1085292869</v>
      </c>
      <c r="B257" s="3" t="s">
        <v>937</v>
      </c>
      <c r="C257" s="3" t="s">
        <v>938</v>
      </c>
      <c r="D257" s="3" t="s">
        <v>939</v>
      </c>
      <c r="E257" s="3" t="s">
        <v>223</v>
      </c>
      <c r="F257" s="3" t="s">
        <v>259</v>
      </c>
      <c r="G257" s="3" t="s">
        <v>260</v>
      </c>
      <c r="H257" s="4" t="s">
        <v>339</v>
      </c>
      <c r="I257" s="3"/>
    </row>
    <row r="258" spans="1:9" ht="15" customHeight="1" x14ac:dyDescent="0.25">
      <c r="A258" s="5">
        <v>59788877</v>
      </c>
      <c r="B258" s="3" t="s">
        <v>940</v>
      </c>
      <c r="C258" s="3" t="s">
        <v>941</v>
      </c>
      <c r="D258" s="3" t="s">
        <v>942</v>
      </c>
      <c r="E258" s="3" t="s">
        <v>223</v>
      </c>
      <c r="F258" s="3" t="s">
        <v>259</v>
      </c>
      <c r="G258" s="3" t="s">
        <v>260</v>
      </c>
      <c r="H258" s="4" t="s">
        <v>270</v>
      </c>
      <c r="I258" s="3"/>
    </row>
    <row r="259" spans="1:9" ht="15" customHeight="1" x14ac:dyDescent="0.25">
      <c r="A259" s="5">
        <v>1052389143</v>
      </c>
      <c r="B259" s="3" t="s">
        <v>943</v>
      </c>
      <c r="C259" s="3" t="s">
        <v>944</v>
      </c>
      <c r="D259" s="3" t="s">
        <v>945</v>
      </c>
      <c r="E259" s="3" t="s">
        <v>223</v>
      </c>
      <c r="F259" s="3" t="s">
        <v>259</v>
      </c>
      <c r="G259" s="3" t="s">
        <v>260</v>
      </c>
      <c r="H259" s="4" t="s">
        <v>42</v>
      </c>
      <c r="I259" s="3"/>
    </row>
    <row r="260" spans="1:9" ht="15" customHeight="1" x14ac:dyDescent="0.25">
      <c r="A260" s="5">
        <v>30738078</v>
      </c>
      <c r="B260" s="3" t="s">
        <v>946</v>
      </c>
      <c r="C260" s="3" t="s">
        <v>947</v>
      </c>
      <c r="D260" s="3" t="s">
        <v>948</v>
      </c>
      <c r="E260" s="3" t="s">
        <v>223</v>
      </c>
      <c r="F260" s="3" t="s">
        <v>259</v>
      </c>
      <c r="G260" s="3" t="s">
        <v>260</v>
      </c>
      <c r="H260" s="4" t="s">
        <v>320</v>
      </c>
      <c r="I260" s="3"/>
    </row>
    <row r="261" spans="1:9" ht="15" customHeight="1" x14ac:dyDescent="0.25">
      <c r="A261" s="3"/>
      <c r="B261" s="3" t="s">
        <v>949</v>
      </c>
      <c r="C261" s="3" t="s">
        <v>466</v>
      </c>
      <c r="D261" s="3" t="s">
        <v>950</v>
      </c>
      <c r="E261" s="3" t="s">
        <v>223</v>
      </c>
      <c r="F261" s="3" t="s">
        <v>219</v>
      </c>
      <c r="G261" s="3"/>
      <c r="H261" s="3" t="s">
        <v>10</v>
      </c>
      <c r="I261" s="3"/>
    </row>
    <row r="262" spans="1:9" ht="15" customHeight="1" x14ac:dyDescent="0.25">
      <c r="A262" s="5">
        <v>36993642</v>
      </c>
      <c r="B262" s="3" t="s">
        <v>52</v>
      </c>
      <c r="C262" s="3" t="s">
        <v>234</v>
      </c>
      <c r="D262" s="3" t="s">
        <v>951</v>
      </c>
      <c r="E262" s="3" t="s">
        <v>223</v>
      </c>
      <c r="F262" s="3" t="s">
        <v>224</v>
      </c>
      <c r="G262" s="4" t="s">
        <v>526</v>
      </c>
      <c r="H262" s="4" t="s">
        <v>236</v>
      </c>
      <c r="I262" s="3" t="s">
        <v>952</v>
      </c>
    </row>
    <row r="263" spans="1:9" ht="15" customHeight="1" x14ac:dyDescent="0.25">
      <c r="A263" s="5">
        <v>30736527</v>
      </c>
      <c r="B263" s="3" t="s">
        <v>953</v>
      </c>
      <c r="C263" s="3" t="s">
        <v>954</v>
      </c>
      <c r="D263" s="3" t="s">
        <v>955</v>
      </c>
      <c r="E263" s="3" t="s">
        <v>223</v>
      </c>
      <c r="F263" s="3" t="s">
        <v>224</v>
      </c>
      <c r="G263" s="4" t="s">
        <v>225</v>
      </c>
      <c r="H263" s="4" t="s">
        <v>956</v>
      </c>
      <c r="I263" s="3"/>
    </row>
    <row r="264" spans="1:9" ht="15" customHeight="1" x14ac:dyDescent="0.25">
      <c r="A264" s="5">
        <v>87248313</v>
      </c>
      <c r="B264" s="3" t="s">
        <v>957</v>
      </c>
      <c r="C264" s="3" t="s">
        <v>958</v>
      </c>
      <c r="D264" s="3" t="s">
        <v>959</v>
      </c>
      <c r="E264" s="3" t="s">
        <v>223</v>
      </c>
      <c r="F264" s="3" t="s">
        <v>259</v>
      </c>
      <c r="G264" s="3" t="s">
        <v>260</v>
      </c>
      <c r="H264" s="4" t="s">
        <v>320</v>
      </c>
      <c r="I264" s="3"/>
    </row>
    <row r="265" spans="1:9" ht="15" customHeight="1" x14ac:dyDescent="0.25">
      <c r="A265" s="5">
        <v>27296272</v>
      </c>
      <c r="B265" s="3" t="s">
        <v>960</v>
      </c>
      <c r="C265" s="3" t="s">
        <v>961</v>
      </c>
      <c r="D265" s="3" t="s">
        <v>962</v>
      </c>
      <c r="E265" s="3" t="s">
        <v>223</v>
      </c>
      <c r="F265" s="3" t="s">
        <v>224</v>
      </c>
      <c r="G265" s="4" t="s">
        <v>11</v>
      </c>
      <c r="H265" s="4" t="s">
        <v>270</v>
      </c>
      <c r="I265" s="3"/>
    </row>
    <row r="266" spans="1:9" ht="15" customHeight="1" x14ac:dyDescent="0.25">
      <c r="A266" s="5">
        <v>30726987</v>
      </c>
      <c r="B266" s="3" t="s">
        <v>963</v>
      </c>
      <c r="C266" s="3" t="s">
        <v>964</v>
      </c>
      <c r="D266" s="3" t="s">
        <v>628</v>
      </c>
      <c r="E266" s="3" t="s">
        <v>223</v>
      </c>
      <c r="F266" s="3" t="s">
        <v>243</v>
      </c>
      <c r="G266" s="4" t="s">
        <v>965</v>
      </c>
      <c r="H266" s="4" t="s">
        <v>626</v>
      </c>
      <c r="I266" s="3"/>
    </row>
    <row r="267" spans="1:9" ht="15" customHeight="1" x14ac:dyDescent="0.25">
      <c r="A267" s="5">
        <v>12753321</v>
      </c>
      <c r="B267" s="3" t="s">
        <v>14</v>
      </c>
      <c r="C267" s="3" t="s">
        <v>966</v>
      </c>
      <c r="D267" s="3" t="s">
        <v>967</v>
      </c>
      <c r="E267" s="3" t="s">
        <v>223</v>
      </c>
      <c r="F267" s="3" t="s">
        <v>228</v>
      </c>
      <c r="G267" s="4" t="s">
        <v>968</v>
      </c>
      <c r="H267" s="4" t="s">
        <v>429</v>
      </c>
      <c r="I267" s="3" t="s">
        <v>409</v>
      </c>
    </row>
    <row r="268" spans="1:9" ht="15" customHeight="1" x14ac:dyDescent="0.25">
      <c r="A268" s="5">
        <v>5206981</v>
      </c>
      <c r="B268" s="3" t="s">
        <v>14</v>
      </c>
      <c r="C268" s="3" t="s">
        <v>969</v>
      </c>
      <c r="D268" s="3" t="s">
        <v>970</v>
      </c>
      <c r="E268" s="3" t="s">
        <v>223</v>
      </c>
      <c r="F268" s="3" t="s">
        <v>224</v>
      </c>
      <c r="G268" s="4" t="s">
        <v>6</v>
      </c>
      <c r="H268" s="4" t="s">
        <v>971</v>
      </c>
      <c r="I268" s="3"/>
    </row>
    <row r="269" spans="1:9" ht="15" customHeight="1" x14ac:dyDescent="0.25">
      <c r="A269" s="5">
        <v>98388304</v>
      </c>
      <c r="B269" s="3" t="s">
        <v>972</v>
      </c>
      <c r="C269" s="3" t="s">
        <v>973</v>
      </c>
      <c r="D269" s="3" t="s">
        <v>974</v>
      </c>
      <c r="E269" s="3" t="s">
        <v>223</v>
      </c>
      <c r="F269" s="3" t="s">
        <v>259</v>
      </c>
      <c r="G269" s="3" t="s">
        <v>260</v>
      </c>
      <c r="H269" s="4" t="s">
        <v>46</v>
      </c>
      <c r="I269" s="3"/>
    </row>
    <row r="270" spans="1:9" ht="15" customHeight="1" x14ac:dyDescent="0.25">
      <c r="A270" s="5">
        <v>1085288275</v>
      </c>
      <c r="B270" s="3" t="s">
        <v>975</v>
      </c>
      <c r="C270" s="3" t="s">
        <v>976</v>
      </c>
      <c r="D270" s="3" t="s">
        <v>977</v>
      </c>
      <c r="E270" s="3" t="s">
        <v>223</v>
      </c>
      <c r="F270" s="3" t="s">
        <v>259</v>
      </c>
      <c r="G270" s="3" t="s">
        <v>260</v>
      </c>
      <c r="H270" s="4" t="s">
        <v>365</v>
      </c>
      <c r="I270" s="3"/>
    </row>
    <row r="271" spans="1:9" ht="15" customHeight="1" x14ac:dyDescent="0.25">
      <c r="A271" s="5">
        <v>12984243</v>
      </c>
      <c r="B271" s="3" t="s">
        <v>978</v>
      </c>
      <c r="C271" s="3" t="s">
        <v>979</v>
      </c>
      <c r="D271" s="3" t="s">
        <v>980</v>
      </c>
      <c r="E271" s="3" t="s">
        <v>223</v>
      </c>
      <c r="F271" s="3" t="s">
        <v>224</v>
      </c>
      <c r="G271" s="4" t="s">
        <v>6</v>
      </c>
      <c r="H271" s="4" t="s">
        <v>304</v>
      </c>
      <c r="I271" s="3"/>
    </row>
    <row r="272" spans="1:9" ht="15" customHeight="1" x14ac:dyDescent="0.25">
      <c r="A272" s="5">
        <v>1085919997</v>
      </c>
      <c r="B272" s="3" t="s">
        <v>73</v>
      </c>
      <c r="C272" s="3" t="s">
        <v>981</v>
      </c>
      <c r="D272" s="3" t="s">
        <v>982</v>
      </c>
      <c r="E272" s="3" t="s">
        <v>223</v>
      </c>
      <c r="F272" s="3" t="s">
        <v>243</v>
      </c>
      <c r="G272" s="3" t="s">
        <v>54</v>
      </c>
      <c r="H272" s="4" t="s">
        <v>971</v>
      </c>
      <c r="I272" s="3"/>
    </row>
    <row r="273" spans="1:9" ht="15" customHeight="1" x14ac:dyDescent="0.25">
      <c r="A273" s="5">
        <v>98387571</v>
      </c>
      <c r="B273" s="3" t="s">
        <v>983</v>
      </c>
      <c r="C273" s="3" t="s">
        <v>984</v>
      </c>
      <c r="D273" s="3" t="s">
        <v>985</v>
      </c>
      <c r="E273" s="3" t="s">
        <v>223</v>
      </c>
      <c r="F273" s="3" t="s">
        <v>259</v>
      </c>
      <c r="G273" s="3" t="s">
        <v>260</v>
      </c>
      <c r="H273" s="4" t="s">
        <v>810</v>
      </c>
      <c r="I273" s="3"/>
    </row>
    <row r="274" spans="1:9" ht="15" customHeight="1" x14ac:dyDescent="0.25">
      <c r="A274" s="5">
        <v>12750550</v>
      </c>
      <c r="B274" s="3" t="s">
        <v>53</v>
      </c>
      <c r="C274" s="3" t="s">
        <v>986</v>
      </c>
      <c r="D274" s="3" t="s">
        <v>987</v>
      </c>
      <c r="E274" s="3" t="s">
        <v>223</v>
      </c>
      <c r="F274" s="3" t="s">
        <v>243</v>
      </c>
      <c r="G274" s="3" t="s">
        <v>54</v>
      </c>
      <c r="H274" s="4" t="s">
        <v>10</v>
      </c>
      <c r="I274" s="3"/>
    </row>
    <row r="275" spans="1:9" ht="15" customHeight="1" x14ac:dyDescent="0.25">
      <c r="A275" s="5">
        <v>98379637</v>
      </c>
      <c r="B275" s="3" t="s">
        <v>82</v>
      </c>
      <c r="C275" s="3" t="s">
        <v>988</v>
      </c>
      <c r="D275" s="3" t="s">
        <v>989</v>
      </c>
      <c r="E275" s="3" t="s">
        <v>223</v>
      </c>
      <c r="F275" s="3" t="s">
        <v>232</v>
      </c>
      <c r="G275" s="4" t="s">
        <v>23</v>
      </c>
      <c r="H275" s="4" t="s">
        <v>236</v>
      </c>
      <c r="I275" s="3" t="s">
        <v>237</v>
      </c>
    </row>
    <row r="276" spans="1:9" ht="15" customHeight="1" x14ac:dyDescent="0.25">
      <c r="A276" s="5">
        <v>12749871</v>
      </c>
      <c r="B276" s="3" t="s">
        <v>85</v>
      </c>
      <c r="C276" s="3" t="s">
        <v>990</v>
      </c>
      <c r="D276" s="3" t="s">
        <v>991</v>
      </c>
      <c r="E276" s="3" t="s">
        <v>223</v>
      </c>
      <c r="F276" s="3" t="s">
        <v>243</v>
      </c>
      <c r="G276" s="4" t="s">
        <v>8</v>
      </c>
      <c r="H276" s="4" t="s">
        <v>992</v>
      </c>
      <c r="I276" s="3"/>
    </row>
    <row r="277" spans="1:9" ht="15" customHeight="1" x14ac:dyDescent="0.25">
      <c r="A277" s="5">
        <v>98385779</v>
      </c>
      <c r="B277" s="3" t="s">
        <v>43</v>
      </c>
      <c r="C277" s="3" t="s">
        <v>993</v>
      </c>
      <c r="D277" s="3" t="s">
        <v>994</v>
      </c>
      <c r="E277" s="3" t="s">
        <v>223</v>
      </c>
      <c r="F277" s="3" t="s">
        <v>224</v>
      </c>
      <c r="G277" s="4" t="s">
        <v>6</v>
      </c>
      <c r="H277" s="4" t="s">
        <v>44</v>
      </c>
      <c r="I277" s="3"/>
    </row>
    <row r="278" spans="1:9" ht="15" customHeight="1" x14ac:dyDescent="0.25">
      <c r="A278" s="5">
        <v>1084223459</v>
      </c>
      <c r="B278" s="3" t="s">
        <v>995</v>
      </c>
      <c r="C278" s="3" t="s">
        <v>996</v>
      </c>
      <c r="D278" s="3" t="s">
        <v>997</v>
      </c>
      <c r="E278" s="3" t="s">
        <v>223</v>
      </c>
      <c r="F278" s="3" t="s">
        <v>259</v>
      </c>
      <c r="G278" s="3" t="s">
        <v>260</v>
      </c>
      <c r="H278" s="4" t="s">
        <v>429</v>
      </c>
      <c r="I278" s="3"/>
    </row>
    <row r="279" spans="1:9" ht="15" customHeight="1" x14ac:dyDescent="0.25">
      <c r="A279" s="5">
        <v>59823347</v>
      </c>
      <c r="B279" s="3" t="s">
        <v>998</v>
      </c>
      <c r="C279" s="3" t="s">
        <v>999</v>
      </c>
      <c r="D279" s="3" t="s">
        <v>1000</v>
      </c>
      <c r="E279" s="3" t="s">
        <v>223</v>
      </c>
      <c r="F279" s="3" t="s">
        <v>243</v>
      </c>
      <c r="G279" s="3" t="s">
        <v>28</v>
      </c>
      <c r="H279" s="4" t="s">
        <v>1001</v>
      </c>
      <c r="I279" s="3"/>
    </row>
    <row r="280" spans="1:9" ht="15" customHeight="1" x14ac:dyDescent="0.25">
      <c r="A280" s="5">
        <v>5344999</v>
      </c>
      <c r="B280" s="3" t="s">
        <v>1002</v>
      </c>
      <c r="C280" s="3" t="s">
        <v>1003</v>
      </c>
      <c r="D280" s="3" t="s">
        <v>1004</v>
      </c>
      <c r="E280" s="3" t="s">
        <v>223</v>
      </c>
      <c r="F280" s="3" t="s">
        <v>259</v>
      </c>
      <c r="G280" s="3" t="s">
        <v>260</v>
      </c>
      <c r="H280" s="4" t="s">
        <v>247</v>
      </c>
      <c r="I280" s="3"/>
    </row>
    <row r="281" spans="1:9" ht="15" customHeight="1" x14ac:dyDescent="0.25">
      <c r="A281" s="5">
        <v>79607362</v>
      </c>
      <c r="B281" s="3" t="s">
        <v>119</v>
      </c>
      <c r="C281" s="3" t="s">
        <v>1005</v>
      </c>
      <c r="D281" s="3" t="s">
        <v>619</v>
      </c>
      <c r="E281" s="3" t="s">
        <v>223</v>
      </c>
      <c r="F281" s="3" t="s">
        <v>232</v>
      </c>
      <c r="G281" s="4" t="s">
        <v>798</v>
      </c>
      <c r="H281" s="4" t="s">
        <v>87</v>
      </c>
      <c r="I281" s="3"/>
    </row>
    <row r="282" spans="1:9" ht="15" customHeight="1" x14ac:dyDescent="0.25">
      <c r="A282" s="5">
        <v>98381538</v>
      </c>
      <c r="B282" s="3" t="s">
        <v>80</v>
      </c>
      <c r="C282" s="3" t="s">
        <v>1006</v>
      </c>
      <c r="D282" s="3" t="s">
        <v>1007</v>
      </c>
      <c r="E282" s="3" t="s">
        <v>223</v>
      </c>
      <c r="F282" s="3" t="s">
        <v>243</v>
      </c>
      <c r="G282" s="3" t="s">
        <v>1008</v>
      </c>
      <c r="H282" s="4" t="s">
        <v>1009</v>
      </c>
      <c r="I282" s="3"/>
    </row>
    <row r="283" spans="1:9" ht="15" customHeight="1" x14ac:dyDescent="0.25">
      <c r="A283" s="5">
        <v>98387755</v>
      </c>
      <c r="B283" s="3" t="s">
        <v>1010</v>
      </c>
      <c r="C283" s="3" t="s">
        <v>1011</v>
      </c>
      <c r="D283" s="3" t="s">
        <v>1012</v>
      </c>
      <c r="E283" s="3" t="s">
        <v>223</v>
      </c>
      <c r="F283" s="3" t="s">
        <v>259</v>
      </c>
      <c r="G283" s="3" t="s">
        <v>260</v>
      </c>
      <c r="H283" s="4" t="s">
        <v>323</v>
      </c>
      <c r="I283" s="3"/>
    </row>
    <row r="284" spans="1:9" ht="15" customHeight="1" x14ac:dyDescent="0.25">
      <c r="A284" s="5">
        <v>1085281839</v>
      </c>
      <c r="B284" s="3" t="s">
        <v>1013</v>
      </c>
      <c r="C284" s="3" t="s">
        <v>25</v>
      </c>
      <c r="D284" s="3" t="s">
        <v>1014</v>
      </c>
      <c r="E284" s="3" t="s">
        <v>223</v>
      </c>
      <c r="F284" s="3" t="s">
        <v>259</v>
      </c>
      <c r="G284" s="3" t="s">
        <v>260</v>
      </c>
      <c r="H284" s="4" t="s">
        <v>46</v>
      </c>
      <c r="I284" s="3"/>
    </row>
    <row r="285" spans="1:9" ht="15" customHeight="1" x14ac:dyDescent="0.25">
      <c r="A285" s="5">
        <v>1085312299</v>
      </c>
      <c r="B285" s="3" t="s">
        <v>1015</v>
      </c>
      <c r="C285" s="3" t="s">
        <v>1016</v>
      </c>
      <c r="D285" s="3" t="s">
        <v>1017</v>
      </c>
      <c r="E285" s="3" t="s">
        <v>223</v>
      </c>
      <c r="F285" s="3" t="s">
        <v>259</v>
      </c>
      <c r="G285" s="3" t="s">
        <v>260</v>
      </c>
      <c r="H285" s="4" t="s">
        <v>357</v>
      </c>
      <c r="I285" s="3"/>
    </row>
    <row r="286" spans="1:9" ht="15" customHeight="1" x14ac:dyDescent="0.25">
      <c r="A286" s="5">
        <v>37086777</v>
      </c>
      <c r="B286" s="3" t="s">
        <v>1018</v>
      </c>
      <c r="C286" s="3" t="s">
        <v>1019</v>
      </c>
      <c r="D286" s="3" t="s">
        <v>1020</v>
      </c>
      <c r="E286" s="3" t="s">
        <v>223</v>
      </c>
      <c r="F286" s="3" t="s">
        <v>259</v>
      </c>
      <c r="G286" s="3" t="s">
        <v>260</v>
      </c>
      <c r="H286" s="4" t="s">
        <v>44</v>
      </c>
      <c r="I286" s="3"/>
    </row>
    <row r="287" spans="1:9" ht="15" customHeight="1" x14ac:dyDescent="0.25">
      <c r="A287" s="5">
        <v>1085327448</v>
      </c>
      <c r="B287" s="3" t="s">
        <v>1021</v>
      </c>
      <c r="C287" s="3" t="s">
        <v>1022</v>
      </c>
      <c r="D287" s="3" t="s">
        <v>1023</v>
      </c>
      <c r="E287" s="3" t="s">
        <v>223</v>
      </c>
      <c r="F287" s="3" t="s">
        <v>259</v>
      </c>
      <c r="G287" s="3" t="s">
        <v>260</v>
      </c>
      <c r="H287" s="4" t="s">
        <v>534</v>
      </c>
      <c r="I287" s="3"/>
    </row>
    <row r="288" spans="1:9" ht="15" customHeight="1" x14ac:dyDescent="0.25">
      <c r="A288" s="5">
        <v>5206559</v>
      </c>
      <c r="B288" s="3" t="s">
        <v>1024</v>
      </c>
      <c r="C288" s="3" t="s">
        <v>1025</v>
      </c>
      <c r="D288" s="3" t="s">
        <v>1026</v>
      </c>
      <c r="E288" s="3" t="s">
        <v>223</v>
      </c>
      <c r="F288" s="3" t="s">
        <v>259</v>
      </c>
      <c r="G288" s="3" t="s">
        <v>260</v>
      </c>
      <c r="H288" s="4" t="s">
        <v>320</v>
      </c>
      <c r="I288" s="3"/>
    </row>
    <row r="289" spans="1:9" ht="15" customHeight="1" x14ac:dyDescent="0.25">
      <c r="A289" s="5">
        <v>1061738070</v>
      </c>
      <c r="B289" s="3" t="s">
        <v>1027</v>
      </c>
      <c r="C289" s="3" t="s">
        <v>1028</v>
      </c>
      <c r="D289" s="3" t="s">
        <v>1029</v>
      </c>
      <c r="E289" s="3" t="s">
        <v>223</v>
      </c>
      <c r="F289" s="3" t="s">
        <v>259</v>
      </c>
      <c r="G289" s="3" t="s">
        <v>260</v>
      </c>
      <c r="H289" s="4" t="s">
        <v>270</v>
      </c>
      <c r="I289" s="3"/>
    </row>
    <row r="290" spans="1:9" ht="15" customHeight="1" x14ac:dyDescent="0.25">
      <c r="A290" s="5">
        <v>1085247546</v>
      </c>
      <c r="B290" s="3" t="s">
        <v>1030</v>
      </c>
      <c r="C290" s="3" t="s">
        <v>1031</v>
      </c>
      <c r="D290" s="3" t="s">
        <v>1032</v>
      </c>
      <c r="E290" s="3" t="s">
        <v>223</v>
      </c>
      <c r="F290" s="3" t="s">
        <v>259</v>
      </c>
      <c r="G290" s="3" t="s">
        <v>260</v>
      </c>
      <c r="H290" s="4" t="s">
        <v>44</v>
      </c>
      <c r="I290" s="3"/>
    </row>
    <row r="291" spans="1:9" ht="15" customHeight="1" x14ac:dyDescent="0.25">
      <c r="A291" s="5">
        <v>98383107</v>
      </c>
      <c r="B291" s="3" t="s">
        <v>176</v>
      </c>
      <c r="C291" s="3" t="s">
        <v>1033</v>
      </c>
      <c r="D291" s="3" t="s">
        <v>1034</v>
      </c>
      <c r="E291" s="3" t="s">
        <v>223</v>
      </c>
      <c r="F291" s="3" t="s">
        <v>473</v>
      </c>
      <c r="G291" s="3" t="s">
        <v>177</v>
      </c>
      <c r="H291" s="4" t="s">
        <v>3</v>
      </c>
      <c r="I291" s="3"/>
    </row>
    <row r="292" spans="1:9" ht="15" customHeight="1" x14ac:dyDescent="0.25">
      <c r="A292" s="5">
        <v>1085635111</v>
      </c>
      <c r="B292" s="3" t="s">
        <v>1035</v>
      </c>
      <c r="C292" s="3" t="s">
        <v>1036</v>
      </c>
      <c r="D292" s="3" t="s">
        <v>1037</v>
      </c>
      <c r="E292" s="3" t="s">
        <v>223</v>
      </c>
      <c r="F292" s="3" t="s">
        <v>259</v>
      </c>
      <c r="G292" s="3" t="s">
        <v>260</v>
      </c>
      <c r="H292" s="4" t="s">
        <v>397</v>
      </c>
      <c r="I292" s="3"/>
    </row>
    <row r="293" spans="1:9" ht="15" customHeight="1" x14ac:dyDescent="0.25">
      <c r="A293" s="5">
        <v>1085660420</v>
      </c>
      <c r="B293" s="3" t="s">
        <v>1035</v>
      </c>
      <c r="C293" s="3" t="s">
        <v>1038</v>
      </c>
      <c r="D293" s="3" t="s">
        <v>1039</v>
      </c>
      <c r="E293" s="3" t="s">
        <v>223</v>
      </c>
      <c r="F293" s="3" t="s">
        <v>259</v>
      </c>
      <c r="G293" s="3" t="s">
        <v>260</v>
      </c>
      <c r="H293" s="4" t="s">
        <v>46</v>
      </c>
      <c r="I293" s="3"/>
    </row>
    <row r="294" spans="1:9" ht="15" customHeight="1" x14ac:dyDescent="0.25">
      <c r="A294" s="5">
        <v>1085252716</v>
      </c>
      <c r="B294" s="3" t="s">
        <v>1040</v>
      </c>
      <c r="C294" s="3" t="s">
        <v>1041</v>
      </c>
      <c r="D294" s="3" t="s">
        <v>1042</v>
      </c>
      <c r="E294" s="3" t="s">
        <v>223</v>
      </c>
      <c r="F294" s="3" t="s">
        <v>259</v>
      </c>
      <c r="G294" s="3" t="s">
        <v>260</v>
      </c>
      <c r="H294" s="4" t="s">
        <v>365</v>
      </c>
      <c r="I294" s="3"/>
    </row>
    <row r="295" spans="1:9" ht="15" customHeight="1" x14ac:dyDescent="0.25">
      <c r="A295" s="5">
        <v>37086824</v>
      </c>
      <c r="B295" s="3" t="s">
        <v>1043</v>
      </c>
      <c r="C295" s="3" t="s">
        <v>1044</v>
      </c>
      <c r="D295" s="3" t="s">
        <v>1045</v>
      </c>
      <c r="E295" s="3" t="s">
        <v>223</v>
      </c>
      <c r="F295" s="3" t="s">
        <v>259</v>
      </c>
      <c r="G295" s="3" t="s">
        <v>260</v>
      </c>
      <c r="H295" s="4" t="s">
        <v>87</v>
      </c>
      <c r="I295" s="3"/>
    </row>
    <row r="296" spans="1:9" ht="15" customHeight="1" x14ac:dyDescent="0.25">
      <c r="A296" s="5">
        <v>59837221</v>
      </c>
      <c r="B296" s="3" t="s">
        <v>1046</v>
      </c>
      <c r="C296" s="3" t="s">
        <v>1047</v>
      </c>
      <c r="D296" s="3" t="s">
        <v>1048</v>
      </c>
      <c r="E296" s="3" t="s">
        <v>223</v>
      </c>
      <c r="F296" s="3" t="s">
        <v>243</v>
      </c>
      <c r="G296" s="4" t="s">
        <v>225</v>
      </c>
      <c r="H296" s="4" t="s">
        <v>3</v>
      </c>
      <c r="I296" s="3"/>
    </row>
    <row r="297" spans="1:9" ht="15" customHeight="1" x14ac:dyDescent="0.25">
      <c r="A297" s="5">
        <v>59310602</v>
      </c>
      <c r="B297" s="3" t="s">
        <v>1049</v>
      </c>
      <c r="C297" s="3" t="s">
        <v>1050</v>
      </c>
      <c r="D297" s="3" t="s">
        <v>1051</v>
      </c>
      <c r="E297" s="3" t="s">
        <v>223</v>
      </c>
      <c r="F297" s="3" t="s">
        <v>243</v>
      </c>
      <c r="G297" s="4" t="s">
        <v>694</v>
      </c>
      <c r="H297" s="4" t="s">
        <v>1052</v>
      </c>
      <c r="I297" s="3"/>
    </row>
    <row r="298" spans="1:9" ht="15" customHeight="1" x14ac:dyDescent="0.25">
      <c r="A298" s="5">
        <v>13070797</v>
      </c>
      <c r="B298" s="3" t="s">
        <v>96</v>
      </c>
      <c r="C298" s="3" t="s">
        <v>1053</v>
      </c>
      <c r="D298" s="3" t="s">
        <v>1054</v>
      </c>
      <c r="E298" s="3" t="s">
        <v>223</v>
      </c>
      <c r="F298" s="3" t="s">
        <v>232</v>
      </c>
      <c r="G298" s="4" t="s">
        <v>23</v>
      </c>
      <c r="H298" s="4" t="s">
        <v>46</v>
      </c>
      <c r="I298" s="3"/>
    </row>
    <row r="299" spans="1:9" ht="15" customHeight="1" x14ac:dyDescent="0.25">
      <c r="A299" s="5">
        <v>1086299638</v>
      </c>
      <c r="B299" s="3" t="s">
        <v>1055</v>
      </c>
      <c r="C299" s="3" t="s">
        <v>1056</v>
      </c>
      <c r="D299" s="3" t="s">
        <v>1057</v>
      </c>
      <c r="E299" s="3" t="s">
        <v>223</v>
      </c>
      <c r="F299" s="3" t="s">
        <v>259</v>
      </c>
      <c r="G299" s="3" t="s">
        <v>260</v>
      </c>
      <c r="H299" s="4" t="s">
        <v>429</v>
      </c>
      <c r="I299" s="3"/>
    </row>
    <row r="300" spans="1:9" ht="15" customHeight="1" x14ac:dyDescent="0.25">
      <c r="A300" s="5">
        <v>1085246931</v>
      </c>
      <c r="B300" s="3" t="s">
        <v>168</v>
      </c>
      <c r="C300" s="3" t="s">
        <v>1058</v>
      </c>
      <c r="D300" s="3" t="s">
        <v>1059</v>
      </c>
      <c r="E300" s="3" t="s">
        <v>223</v>
      </c>
      <c r="F300" s="3" t="s">
        <v>228</v>
      </c>
      <c r="G300" s="4" t="s">
        <v>968</v>
      </c>
      <c r="H300" s="4" t="s">
        <v>236</v>
      </c>
      <c r="I300" s="3"/>
    </row>
    <row r="301" spans="1:9" ht="15" customHeight="1" x14ac:dyDescent="0.25">
      <c r="A301" s="5">
        <v>12747162</v>
      </c>
      <c r="B301" s="3" t="s">
        <v>1060</v>
      </c>
      <c r="C301" s="3" t="s">
        <v>1061</v>
      </c>
      <c r="D301" s="3" t="s">
        <v>1062</v>
      </c>
      <c r="E301" s="3" t="s">
        <v>223</v>
      </c>
      <c r="F301" s="3" t="s">
        <v>259</v>
      </c>
      <c r="G301" s="3" t="s">
        <v>260</v>
      </c>
      <c r="H301" s="4" t="s">
        <v>397</v>
      </c>
      <c r="I301" s="3"/>
    </row>
    <row r="302" spans="1:9" ht="15" customHeight="1" x14ac:dyDescent="0.25">
      <c r="A302" s="5">
        <v>1088729120</v>
      </c>
      <c r="B302" s="3" t="s">
        <v>1063</v>
      </c>
      <c r="C302" s="3" t="s">
        <v>1064</v>
      </c>
      <c r="D302" s="3" t="s">
        <v>1065</v>
      </c>
      <c r="E302" s="3" t="s">
        <v>223</v>
      </c>
      <c r="F302" s="3" t="s">
        <v>259</v>
      </c>
      <c r="G302" s="3" t="s">
        <v>260</v>
      </c>
      <c r="H302" s="4" t="s">
        <v>357</v>
      </c>
      <c r="I302" s="3"/>
    </row>
    <row r="303" spans="1:9" ht="15" customHeight="1" x14ac:dyDescent="0.25">
      <c r="A303" s="5">
        <v>87454270</v>
      </c>
      <c r="B303" s="3" t="s">
        <v>1066</v>
      </c>
      <c r="C303" s="3" t="s">
        <v>1067</v>
      </c>
      <c r="D303" s="3" t="s">
        <v>1068</v>
      </c>
      <c r="E303" s="3" t="s">
        <v>218</v>
      </c>
      <c r="F303" s="3" t="s">
        <v>228</v>
      </c>
      <c r="G303" s="4" t="s">
        <v>23</v>
      </c>
      <c r="H303" s="4" t="s">
        <v>10</v>
      </c>
      <c r="I303" s="3" t="s">
        <v>1069</v>
      </c>
    </row>
    <row r="304" spans="1:9" ht="15" customHeight="1" x14ac:dyDescent="0.25">
      <c r="A304" s="5">
        <v>98138448</v>
      </c>
      <c r="B304" s="3" t="s">
        <v>1070</v>
      </c>
      <c r="C304" s="3" t="s">
        <v>1071</v>
      </c>
      <c r="D304" s="3" t="s">
        <v>1072</v>
      </c>
      <c r="E304" s="3" t="s">
        <v>223</v>
      </c>
      <c r="F304" s="3" t="s">
        <v>259</v>
      </c>
      <c r="G304" s="3" t="s">
        <v>260</v>
      </c>
      <c r="H304" s="4" t="s">
        <v>432</v>
      </c>
      <c r="I304" s="3"/>
    </row>
    <row r="305" spans="1:9" ht="15" customHeight="1" x14ac:dyDescent="0.25">
      <c r="A305" s="5">
        <v>1085293067</v>
      </c>
      <c r="B305" s="3" t="s">
        <v>1073</v>
      </c>
      <c r="C305" s="3" t="s">
        <v>1074</v>
      </c>
      <c r="D305" s="3" t="s">
        <v>1075</v>
      </c>
      <c r="E305" s="3" t="s">
        <v>223</v>
      </c>
      <c r="F305" s="3" t="s">
        <v>259</v>
      </c>
      <c r="G305" s="3" t="s">
        <v>260</v>
      </c>
      <c r="H305" s="4" t="s">
        <v>270</v>
      </c>
      <c r="I305" s="3"/>
    </row>
    <row r="306" spans="1:9" ht="15" customHeight="1" x14ac:dyDescent="0.25">
      <c r="A306" s="5">
        <v>12750766</v>
      </c>
      <c r="B306" s="3" t="s">
        <v>1076</v>
      </c>
      <c r="C306" s="3" t="s">
        <v>1077</v>
      </c>
      <c r="D306" s="3" t="s">
        <v>1078</v>
      </c>
      <c r="E306" s="3" t="s">
        <v>218</v>
      </c>
      <c r="F306" s="3" t="s">
        <v>259</v>
      </c>
      <c r="G306" s="3" t="s">
        <v>260</v>
      </c>
      <c r="H306" s="4" t="s">
        <v>320</v>
      </c>
      <c r="I306" s="3"/>
    </row>
    <row r="307" spans="1:9" ht="15" customHeight="1" x14ac:dyDescent="0.25">
      <c r="A307" s="5">
        <v>12963804</v>
      </c>
      <c r="B307" s="3" t="s">
        <v>1079</v>
      </c>
      <c r="C307" s="3" t="s">
        <v>1080</v>
      </c>
      <c r="D307" s="3" t="s">
        <v>1081</v>
      </c>
      <c r="E307" s="3" t="s">
        <v>223</v>
      </c>
      <c r="F307" s="3" t="s">
        <v>224</v>
      </c>
      <c r="G307" s="4" t="s">
        <v>6</v>
      </c>
      <c r="H307" s="4" t="s">
        <v>1082</v>
      </c>
      <c r="I307" s="3"/>
    </row>
    <row r="308" spans="1:9" ht="15" customHeight="1" x14ac:dyDescent="0.25">
      <c r="A308" s="5">
        <v>1085291815</v>
      </c>
      <c r="B308" s="3" t="s">
        <v>1083</v>
      </c>
      <c r="C308" s="3" t="s">
        <v>1084</v>
      </c>
      <c r="D308" s="3" t="s">
        <v>1085</v>
      </c>
      <c r="E308" s="3" t="s">
        <v>223</v>
      </c>
      <c r="F308" s="3" t="s">
        <v>259</v>
      </c>
      <c r="G308" s="3" t="s">
        <v>260</v>
      </c>
      <c r="H308" s="4" t="s">
        <v>683</v>
      </c>
      <c r="I308" s="3"/>
    </row>
    <row r="309" spans="1:9" ht="15" customHeight="1" x14ac:dyDescent="0.25">
      <c r="A309" s="5">
        <v>87069760</v>
      </c>
      <c r="B309" s="3" t="s">
        <v>1083</v>
      </c>
      <c r="C309" s="3" t="s">
        <v>1086</v>
      </c>
      <c r="D309" s="3" t="s">
        <v>1087</v>
      </c>
      <c r="E309" s="3" t="s">
        <v>218</v>
      </c>
      <c r="F309" s="3" t="s">
        <v>243</v>
      </c>
      <c r="G309" s="4" t="s">
        <v>8</v>
      </c>
      <c r="H309" s="4" t="s">
        <v>339</v>
      </c>
      <c r="I309" s="3"/>
    </row>
    <row r="310" spans="1:9" ht="15" customHeight="1" x14ac:dyDescent="0.25">
      <c r="A310" s="5">
        <v>12989742</v>
      </c>
      <c r="B310" s="3" t="s">
        <v>156</v>
      </c>
      <c r="C310" s="3" t="s">
        <v>1088</v>
      </c>
      <c r="D310" s="3" t="s">
        <v>1089</v>
      </c>
      <c r="E310" s="3" t="s">
        <v>223</v>
      </c>
      <c r="F310" s="3" t="s">
        <v>224</v>
      </c>
      <c r="G310" s="4" t="s">
        <v>6</v>
      </c>
      <c r="H310" s="4" t="s">
        <v>432</v>
      </c>
      <c r="I310" s="3"/>
    </row>
    <row r="311" spans="1:9" ht="15" customHeight="1" x14ac:dyDescent="0.25">
      <c r="A311" s="5">
        <v>1085294870</v>
      </c>
      <c r="B311" s="3" t="s">
        <v>1090</v>
      </c>
      <c r="C311" s="3" t="s">
        <v>1091</v>
      </c>
      <c r="D311" s="3" t="s">
        <v>1092</v>
      </c>
      <c r="E311" s="3" t="s">
        <v>223</v>
      </c>
      <c r="F311" s="3" t="s">
        <v>259</v>
      </c>
      <c r="G311" s="3" t="s">
        <v>260</v>
      </c>
      <c r="H311" s="4" t="s">
        <v>397</v>
      </c>
      <c r="I311" s="3"/>
    </row>
    <row r="312" spans="1:9" ht="15" customHeight="1" x14ac:dyDescent="0.25">
      <c r="A312" s="5">
        <v>12754217</v>
      </c>
      <c r="B312" s="3" t="s">
        <v>191</v>
      </c>
      <c r="C312" s="3" t="s">
        <v>1093</v>
      </c>
      <c r="D312" s="3" t="s">
        <v>1094</v>
      </c>
      <c r="E312" s="3" t="s">
        <v>223</v>
      </c>
      <c r="F312" s="3" t="s">
        <v>232</v>
      </c>
      <c r="G312" s="4" t="s">
        <v>6</v>
      </c>
      <c r="H312" s="4" t="s">
        <v>192</v>
      </c>
      <c r="I312" s="3"/>
    </row>
    <row r="313" spans="1:9" ht="15" customHeight="1" x14ac:dyDescent="0.25">
      <c r="A313" s="5">
        <v>12751805</v>
      </c>
      <c r="B313" s="3" t="s">
        <v>1095</v>
      </c>
      <c r="C313" s="3" t="s">
        <v>185</v>
      </c>
      <c r="D313" s="3" t="s">
        <v>1096</v>
      </c>
      <c r="E313" s="3" t="s">
        <v>223</v>
      </c>
      <c r="F313" s="3" t="s">
        <v>259</v>
      </c>
      <c r="G313" s="3" t="s">
        <v>260</v>
      </c>
      <c r="H313" s="4" t="s">
        <v>281</v>
      </c>
      <c r="I313" s="3"/>
    </row>
    <row r="314" spans="1:9" ht="15" customHeight="1" x14ac:dyDescent="0.25">
      <c r="A314" s="5">
        <v>12963104</v>
      </c>
      <c r="B314" s="3" t="s">
        <v>45</v>
      </c>
      <c r="C314" s="3" t="s">
        <v>1097</v>
      </c>
      <c r="D314" s="3" t="s">
        <v>1098</v>
      </c>
      <c r="E314" s="3" t="s">
        <v>223</v>
      </c>
      <c r="F314" s="3" t="s">
        <v>224</v>
      </c>
      <c r="G314" s="4" t="s">
        <v>6</v>
      </c>
      <c r="H314" s="4" t="s">
        <v>46</v>
      </c>
      <c r="I314" s="3"/>
    </row>
    <row r="315" spans="1:9" ht="15" customHeight="1" x14ac:dyDescent="0.25">
      <c r="A315" s="5">
        <v>87103753</v>
      </c>
      <c r="B315" s="3" t="s">
        <v>157</v>
      </c>
      <c r="C315" s="3" t="s">
        <v>1099</v>
      </c>
      <c r="D315" s="3" t="s">
        <v>1100</v>
      </c>
      <c r="E315" s="3" t="s">
        <v>223</v>
      </c>
      <c r="F315" s="3" t="s">
        <v>243</v>
      </c>
      <c r="G315" s="4" t="s">
        <v>8</v>
      </c>
      <c r="H315" s="4" t="s">
        <v>1101</v>
      </c>
      <c r="I315" s="3"/>
    </row>
    <row r="316" spans="1:9" ht="15" customHeight="1" x14ac:dyDescent="0.25">
      <c r="A316" s="5">
        <v>12957994</v>
      </c>
      <c r="B316" s="3" t="s">
        <v>186</v>
      </c>
      <c r="C316" s="3" t="s">
        <v>1102</v>
      </c>
      <c r="D316" s="3" t="s">
        <v>1103</v>
      </c>
      <c r="E316" s="3" t="s">
        <v>223</v>
      </c>
      <c r="F316" s="3" t="s">
        <v>232</v>
      </c>
      <c r="G316" s="4" t="s">
        <v>23</v>
      </c>
      <c r="H316" s="4" t="s">
        <v>270</v>
      </c>
      <c r="I316" s="3"/>
    </row>
    <row r="317" spans="1:9" ht="15" customHeight="1" x14ac:dyDescent="0.25">
      <c r="A317" s="5">
        <v>12999548</v>
      </c>
      <c r="B317" s="3" t="s">
        <v>143</v>
      </c>
      <c r="C317" s="3" t="s">
        <v>1104</v>
      </c>
      <c r="D317" s="3" t="s">
        <v>1105</v>
      </c>
      <c r="E317" s="3" t="s">
        <v>223</v>
      </c>
      <c r="F317" s="3" t="s">
        <v>243</v>
      </c>
      <c r="G317" s="4" t="s">
        <v>144</v>
      </c>
      <c r="H317" s="4" t="s">
        <v>240</v>
      </c>
      <c r="I317" s="3"/>
    </row>
    <row r="318" spans="1:9" ht="15" customHeight="1" x14ac:dyDescent="0.25">
      <c r="A318" s="5">
        <v>12978549</v>
      </c>
      <c r="B318" s="3" t="s">
        <v>140</v>
      </c>
      <c r="C318" s="3" t="s">
        <v>1106</v>
      </c>
      <c r="D318" s="3" t="s">
        <v>1107</v>
      </c>
      <c r="E318" s="3" t="s">
        <v>223</v>
      </c>
      <c r="F318" s="3" t="s">
        <v>224</v>
      </c>
      <c r="G318" s="4" t="s">
        <v>1108</v>
      </c>
      <c r="H318" s="4" t="s">
        <v>320</v>
      </c>
      <c r="I318" s="3"/>
    </row>
    <row r="319" spans="1:9" ht="15" customHeight="1" x14ac:dyDescent="0.25">
      <c r="A319" s="5">
        <v>98382512</v>
      </c>
      <c r="B319" s="3" t="s">
        <v>77</v>
      </c>
      <c r="C319" s="3" t="s">
        <v>1109</v>
      </c>
      <c r="D319" s="3" t="s">
        <v>1110</v>
      </c>
      <c r="E319" s="3" t="s">
        <v>223</v>
      </c>
      <c r="F319" s="3" t="s">
        <v>232</v>
      </c>
      <c r="G319" s="4" t="s">
        <v>23</v>
      </c>
      <c r="H319" s="4" t="s">
        <v>78</v>
      </c>
      <c r="I319" s="3"/>
    </row>
    <row r="320" spans="1:9" ht="15" customHeight="1" x14ac:dyDescent="0.25">
      <c r="A320" s="5">
        <v>13070411</v>
      </c>
      <c r="B320" s="3" t="s">
        <v>1111</v>
      </c>
      <c r="C320" s="3" t="s">
        <v>1112</v>
      </c>
      <c r="D320" s="3" t="s">
        <v>1113</v>
      </c>
      <c r="E320" s="3" t="s">
        <v>223</v>
      </c>
      <c r="F320" s="3" t="s">
        <v>259</v>
      </c>
      <c r="G320" s="3" t="s">
        <v>260</v>
      </c>
      <c r="H320" s="4" t="s">
        <v>320</v>
      </c>
      <c r="I320" s="3"/>
    </row>
    <row r="321" spans="1:9" ht="15" customHeight="1" x14ac:dyDescent="0.25">
      <c r="A321" s="3"/>
      <c r="B321" s="3" t="s">
        <v>1114</v>
      </c>
      <c r="C321" s="3" t="s">
        <v>245</v>
      </c>
      <c r="D321" s="3" t="s">
        <v>1115</v>
      </c>
      <c r="E321" s="3" t="s">
        <v>223</v>
      </c>
      <c r="F321" s="3" t="s">
        <v>219</v>
      </c>
      <c r="G321" s="3"/>
      <c r="H321" s="4" t="s">
        <v>247</v>
      </c>
      <c r="I321" s="3"/>
    </row>
    <row r="322" spans="1:9" ht="15" customHeight="1" x14ac:dyDescent="0.25">
      <c r="A322" s="5">
        <v>98386184</v>
      </c>
      <c r="B322" s="3" t="s">
        <v>1116</v>
      </c>
      <c r="C322" s="3" t="s">
        <v>1117</v>
      </c>
      <c r="D322" s="3" t="s">
        <v>1118</v>
      </c>
      <c r="E322" s="3" t="s">
        <v>223</v>
      </c>
      <c r="F322" s="3" t="s">
        <v>259</v>
      </c>
      <c r="G322" s="3" t="s">
        <v>260</v>
      </c>
      <c r="H322" s="4" t="s">
        <v>46</v>
      </c>
      <c r="I322" s="3"/>
    </row>
    <row r="323" spans="1:9" ht="15" customHeight="1" x14ac:dyDescent="0.25">
      <c r="A323" s="5">
        <v>12959550</v>
      </c>
      <c r="B323" s="3" t="s">
        <v>151</v>
      </c>
      <c r="C323" s="3" t="s">
        <v>1119</v>
      </c>
      <c r="D323" s="3" t="s">
        <v>1120</v>
      </c>
      <c r="E323" s="3" t="s">
        <v>223</v>
      </c>
      <c r="F323" s="3" t="s">
        <v>224</v>
      </c>
      <c r="G323" s="4" t="s">
        <v>6</v>
      </c>
      <c r="H323" s="4" t="s">
        <v>42</v>
      </c>
      <c r="I323" s="3"/>
    </row>
    <row r="324" spans="1:9" ht="15" customHeight="1" x14ac:dyDescent="0.25">
      <c r="A324" s="5">
        <v>87070784</v>
      </c>
      <c r="B324" s="3" t="s">
        <v>106</v>
      </c>
      <c r="C324" s="3" t="s">
        <v>1121</v>
      </c>
      <c r="D324" s="3" t="s">
        <v>1122</v>
      </c>
      <c r="E324" s="3" t="s">
        <v>223</v>
      </c>
      <c r="F324" s="3" t="s">
        <v>243</v>
      </c>
      <c r="G324" s="3" t="s">
        <v>28</v>
      </c>
      <c r="H324" s="4" t="s">
        <v>626</v>
      </c>
      <c r="I324" s="3"/>
    </row>
    <row r="325" spans="1:9" ht="15" customHeight="1" x14ac:dyDescent="0.25">
      <c r="A325" s="5">
        <v>87063683</v>
      </c>
      <c r="B325" s="3" t="s">
        <v>22</v>
      </c>
      <c r="C325" s="3" t="s">
        <v>113</v>
      </c>
      <c r="D325" s="3" t="s">
        <v>1123</v>
      </c>
      <c r="E325" s="3" t="s">
        <v>223</v>
      </c>
      <c r="F325" s="3" t="s">
        <v>259</v>
      </c>
      <c r="G325" s="3" t="s">
        <v>260</v>
      </c>
      <c r="H325" s="4" t="s">
        <v>429</v>
      </c>
      <c r="I325" s="3"/>
    </row>
    <row r="326" spans="1:9" ht="15" customHeight="1" x14ac:dyDescent="0.25">
      <c r="A326" s="5">
        <v>13055236</v>
      </c>
      <c r="B326" s="3" t="s">
        <v>22</v>
      </c>
      <c r="C326" s="3" t="s">
        <v>21</v>
      </c>
      <c r="D326" s="3" t="s">
        <v>1124</v>
      </c>
      <c r="E326" s="3" t="s">
        <v>223</v>
      </c>
      <c r="F326" s="3" t="s">
        <v>228</v>
      </c>
      <c r="G326" s="4" t="s">
        <v>23</v>
      </c>
      <c r="H326" s="4" t="s">
        <v>365</v>
      </c>
      <c r="I326" s="3"/>
    </row>
    <row r="327" spans="1:9" ht="15" customHeight="1" x14ac:dyDescent="0.25">
      <c r="A327" s="5">
        <v>98385163</v>
      </c>
      <c r="B327" s="3" t="s">
        <v>22</v>
      </c>
      <c r="C327" s="3" t="s">
        <v>1125</v>
      </c>
      <c r="D327" s="3" t="s">
        <v>1126</v>
      </c>
      <c r="E327" s="3" t="s">
        <v>223</v>
      </c>
      <c r="F327" s="3" t="s">
        <v>232</v>
      </c>
      <c r="G327" s="4" t="s">
        <v>798</v>
      </c>
      <c r="H327" s="4" t="s">
        <v>713</v>
      </c>
      <c r="I327" s="3"/>
    </row>
    <row r="328" spans="1:9" ht="15" customHeight="1" x14ac:dyDescent="0.25">
      <c r="A328" s="5">
        <v>13069665</v>
      </c>
      <c r="B328" s="3" t="s">
        <v>22</v>
      </c>
      <c r="C328" s="3" t="s">
        <v>1127</v>
      </c>
      <c r="D328" s="3" t="s">
        <v>1128</v>
      </c>
      <c r="E328" s="3" t="s">
        <v>223</v>
      </c>
      <c r="F328" s="3" t="s">
        <v>259</v>
      </c>
      <c r="G328" s="3" t="s">
        <v>260</v>
      </c>
      <c r="H328" s="3"/>
      <c r="I328" s="3"/>
    </row>
    <row r="329" spans="1:9" ht="15" customHeight="1" x14ac:dyDescent="0.25">
      <c r="A329" s="5">
        <v>98386811</v>
      </c>
      <c r="B329" s="3" t="s">
        <v>22</v>
      </c>
      <c r="C329" s="3" t="s">
        <v>1129</v>
      </c>
      <c r="D329" s="3" t="s">
        <v>1130</v>
      </c>
      <c r="E329" s="3" t="s">
        <v>223</v>
      </c>
      <c r="F329" s="3" t="s">
        <v>232</v>
      </c>
      <c r="G329" s="4" t="s">
        <v>23</v>
      </c>
      <c r="H329" s="4" t="s">
        <v>410</v>
      </c>
      <c r="I329" s="3"/>
    </row>
    <row r="330" spans="1:9" ht="15" customHeight="1" x14ac:dyDescent="0.25">
      <c r="A330" s="5">
        <v>1086359798</v>
      </c>
      <c r="B330" s="3" t="s">
        <v>1131</v>
      </c>
      <c r="C330" s="3" t="s">
        <v>1132</v>
      </c>
      <c r="D330" s="3" t="s">
        <v>1133</v>
      </c>
      <c r="E330" s="3" t="s">
        <v>223</v>
      </c>
      <c r="F330" s="3" t="s">
        <v>259</v>
      </c>
      <c r="G330" s="3" t="s">
        <v>260</v>
      </c>
      <c r="H330" s="4" t="s">
        <v>263</v>
      </c>
      <c r="I330" s="3"/>
    </row>
    <row r="331" spans="1:9" ht="15" customHeight="1" x14ac:dyDescent="0.25">
      <c r="A331" s="5">
        <v>1144037671</v>
      </c>
      <c r="B331" s="3" t="s">
        <v>1134</v>
      </c>
      <c r="C331" s="3" t="s">
        <v>1135</v>
      </c>
      <c r="D331" s="3" t="s">
        <v>1136</v>
      </c>
      <c r="E331" s="3" t="s">
        <v>223</v>
      </c>
      <c r="F331" s="3" t="s">
        <v>259</v>
      </c>
      <c r="G331" s="3" t="s">
        <v>260</v>
      </c>
      <c r="H331" s="4" t="s">
        <v>320</v>
      </c>
      <c r="I331" s="3"/>
    </row>
    <row r="332" spans="1:9" ht="15" customHeight="1" x14ac:dyDescent="0.25">
      <c r="A332" s="5">
        <v>17658216</v>
      </c>
      <c r="B332" s="3" t="s">
        <v>115</v>
      </c>
      <c r="C332" s="3" t="s">
        <v>1137</v>
      </c>
      <c r="D332" s="3" t="s">
        <v>1138</v>
      </c>
      <c r="E332" s="3" t="s">
        <v>223</v>
      </c>
      <c r="F332" s="3" t="s">
        <v>243</v>
      </c>
      <c r="G332" s="3" t="s">
        <v>35</v>
      </c>
      <c r="H332" s="4" t="s">
        <v>3</v>
      </c>
      <c r="I332" s="3"/>
    </row>
    <row r="333" spans="1:9" ht="15" customHeight="1" x14ac:dyDescent="0.25">
      <c r="A333" s="5">
        <v>12750608</v>
      </c>
      <c r="B333" s="3" t="s">
        <v>115</v>
      </c>
      <c r="C333" s="3" t="s">
        <v>1139</v>
      </c>
      <c r="D333" s="3" t="s">
        <v>1140</v>
      </c>
      <c r="E333" s="3" t="s">
        <v>223</v>
      </c>
      <c r="F333" s="3" t="s">
        <v>259</v>
      </c>
      <c r="G333" s="3" t="s">
        <v>260</v>
      </c>
      <c r="H333" s="4" t="s">
        <v>320</v>
      </c>
      <c r="I333" s="3"/>
    </row>
    <row r="334" spans="1:9" ht="15" customHeight="1" x14ac:dyDescent="0.25">
      <c r="A334" s="5">
        <v>1085301461</v>
      </c>
      <c r="B334" s="3" t="s">
        <v>1141</v>
      </c>
      <c r="C334" s="3" t="s">
        <v>1142</v>
      </c>
      <c r="D334" s="3" t="s">
        <v>1143</v>
      </c>
      <c r="E334" s="3" t="s">
        <v>223</v>
      </c>
      <c r="F334" s="3" t="s">
        <v>259</v>
      </c>
      <c r="G334" s="3" t="s">
        <v>260</v>
      </c>
      <c r="H334" s="4" t="s">
        <v>331</v>
      </c>
      <c r="I334" s="3"/>
    </row>
    <row r="335" spans="1:9" ht="15" customHeight="1" x14ac:dyDescent="0.25">
      <c r="A335" s="5">
        <v>1085302495</v>
      </c>
      <c r="B335" s="3" t="s">
        <v>1144</v>
      </c>
      <c r="C335" s="3" t="s">
        <v>1145</v>
      </c>
      <c r="D335" s="3" t="s">
        <v>1146</v>
      </c>
      <c r="E335" s="3" t="s">
        <v>223</v>
      </c>
      <c r="F335" s="3" t="s">
        <v>259</v>
      </c>
      <c r="G335" s="3" t="s">
        <v>260</v>
      </c>
      <c r="H335" s="4" t="s">
        <v>323</v>
      </c>
      <c r="I335" s="3"/>
    </row>
    <row r="336" spans="1:9" ht="15" customHeight="1" x14ac:dyDescent="0.25">
      <c r="A336" s="5">
        <v>16860370</v>
      </c>
      <c r="B336" s="3" t="s">
        <v>155</v>
      </c>
      <c r="C336" s="3" t="s">
        <v>1147</v>
      </c>
      <c r="D336" s="3" t="s">
        <v>1148</v>
      </c>
      <c r="E336" s="3" t="s">
        <v>223</v>
      </c>
      <c r="F336" s="3" t="s">
        <v>224</v>
      </c>
      <c r="G336" s="4" t="s">
        <v>6</v>
      </c>
      <c r="H336" s="4" t="s">
        <v>15</v>
      </c>
      <c r="I336" s="3"/>
    </row>
    <row r="337" spans="1:9" ht="15" customHeight="1" x14ac:dyDescent="0.25">
      <c r="A337" s="5">
        <v>1085259862</v>
      </c>
      <c r="B337" s="3" t="s">
        <v>183</v>
      </c>
      <c r="C337" s="3" t="s">
        <v>1149</v>
      </c>
      <c r="D337" s="3" t="s">
        <v>1150</v>
      </c>
      <c r="E337" s="3" t="s">
        <v>223</v>
      </c>
      <c r="F337" s="3" t="s">
        <v>259</v>
      </c>
      <c r="G337" s="3" t="s">
        <v>260</v>
      </c>
      <c r="H337" s="4" t="s">
        <v>667</v>
      </c>
      <c r="I337" s="3"/>
    </row>
    <row r="338" spans="1:9" ht="15" customHeight="1" x14ac:dyDescent="0.25">
      <c r="A338" s="3"/>
      <c r="B338" s="3" t="s">
        <v>1151</v>
      </c>
      <c r="C338" s="3" t="s">
        <v>466</v>
      </c>
      <c r="D338" s="3" t="s">
        <v>1152</v>
      </c>
      <c r="E338" s="3" t="s">
        <v>223</v>
      </c>
      <c r="F338" s="3" t="s">
        <v>219</v>
      </c>
      <c r="G338" s="3"/>
      <c r="H338" s="3" t="s">
        <v>10</v>
      </c>
      <c r="I338" s="3"/>
    </row>
    <row r="339" spans="1:9" ht="15" customHeight="1" x14ac:dyDescent="0.25">
      <c r="A339" s="3"/>
      <c r="B339" s="3" t="s">
        <v>1153</v>
      </c>
      <c r="C339" s="3" t="s">
        <v>573</v>
      </c>
      <c r="D339" s="3" t="s">
        <v>1154</v>
      </c>
      <c r="E339" s="3" t="s">
        <v>223</v>
      </c>
      <c r="F339" s="3" t="s">
        <v>219</v>
      </c>
      <c r="G339" s="3"/>
      <c r="H339" s="4" t="s">
        <v>44</v>
      </c>
      <c r="I339" s="3"/>
    </row>
    <row r="340" spans="1:9" ht="15" customHeight="1" x14ac:dyDescent="0.25">
      <c r="A340" s="5">
        <v>1085297522</v>
      </c>
      <c r="B340" s="3" t="s">
        <v>1153</v>
      </c>
      <c r="C340" s="3" t="s">
        <v>419</v>
      </c>
      <c r="D340" s="3" t="s">
        <v>1156</v>
      </c>
      <c r="E340" s="3" t="s">
        <v>223</v>
      </c>
      <c r="F340" s="3" t="s">
        <v>259</v>
      </c>
      <c r="G340" s="3" t="s">
        <v>260</v>
      </c>
      <c r="H340" s="4" t="s">
        <v>421</v>
      </c>
      <c r="I340" s="3"/>
    </row>
    <row r="341" spans="1:9" ht="15" customHeight="1" x14ac:dyDescent="0.25">
      <c r="A341" s="3"/>
      <c r="B341" s="3" t="s">
        <v>1157</v>
      </c>
      <c r="C341" s="3" t="s">
        <v>1158</v>
      </c>
      <c r="D341" s="3" t="s">
        <v>1159</v>
      </c>
      <c r="E341" s="3" t="s">
        <v>223</v>
      </c>
      <c r="F341" s="3" t="s">
        <v>219</v>
      </c>
      <c r="G341" s="3"/>
      <c r="H341" s="4" t="s">
        <v>56</v>
      </c>
      <c r="I341" s="3"/>
    </row>
    <row r="342" spans="1:9" ht="15" customHeight="1" x14ac:dyDescent="0.25">
      <c r="A342" s="3"/>
      <c r="B342" s="3" t="s">
        <v>1160</v>
      </c>
      <c r="C342" s="3" t="s">
        <v>907</v>
      </c>
      <c r="D342" s="3" t="s">
        <v>1161</v>
      </c>
      <c r="E342" s="3" t="s">
        <v>223</v>
      </c>
      <c r="F342" s="3" t="s">
        <v>219</v>
      </c>
      <c r="G342" s="3"/>
      <c r="H342" s="4" t="s">
        <v>247</v>
      </c>
      <c r="I342" s="3"/>
    </row>
    <row r="343" spans="1:9" ht="15" customHeight="1" x14ac:dyDescent="0.25">
      <c r="A343" s="5">
        <v>1094347478</v>
      </c>
      <c r="B343" s="3" t="s">
        <v>1162</v>
      </c>
      <c r="C343" s="3" t="s">
        <v>1163</v>
      </c>
      <c r="D343" s="3" t="s">
        <v>1164</v>
      </c>
      <c r="E343" s="3" t="s">
        <v>223</v>
      </c>
      <c r="F343" s="3" t="s">
        <v>259</v>
      </c>
      <c r="G343" s="3" t="s">
        <v>260</v>
      </c>
      <c r="H343" s="4" t="s">
        <v>1165</v>
      </c>
      <c r="I343" s="3"/>
    </row>
    <row r="344" spans="1:9" ht="15" customHeight="1" x14ac:dyDescent="0.25">
      <c r="A344" s="5">
        <v>1085300779</v>
      </c>
      <c r="B344" s="3" t="s">
        <v>1166</v>
      </c>
      <c r="C344" s="3" t="s">
        <v>1167</v>
      </c>
      <c r="D344" s="3" t="s">
        <v>1168</v>
      </c>
      <c r="E344" s="3" t="s">
        <v>223</v>
      </c>
      <c r="F344" s="3" t="s">
        <v>259</v>
      </c>
      <c r="G344" s="3" t="s">
        <v>260</v>
      </c>
      <c r="H344" s="4" t="s">
        <v>240</v>
      </c>
      <c r="I344" s="3"/>
    </row>
    <row r="345" spans="1:9" ht="15" customHeight="1" x14ac:dyDescent="0.25">
      <c r="A345" s="5">
        <v>59312502</v>
      </c>
      <c r="B345" s="3" t="s">
        <v>1169</v>
      </c>
      <c r="C345" s="3" t="s">
        <v>1170</v>
      </c>
      <c r="D345" s="3" t="s">
        <v>1171</v>
      </c>
      <c r="E345" s="3" t="s">
        <v>223</v>
      </c>
      <c r="F345" s="3" t="s">
        <v>243</v>
      </c>
      <c r="G345" s="3" t="s">
        <v>784</v>
      </c>
      <c r="H345" s="4" t="s">
        <v>397</v>
      </c>
      <c r="I345" s="3"/>
    </row>
    <row r="346" spans="1:9" ht="15" customHeight="1" x14ac:dyDescent="0.25">
      <c r="A346" s="5">
        <v>1085302501</v>
      </c>
      <c r="B346" s="3" t="s">
        <v>1172</v>
      </c>
      <c r="C346" s="3" t="s">
        <v>1173</v>
      </c>
      <c r="D346" s="3" t="s">
        <v>1174</v>
      </c>
      <c r="E346" s="3" t="s">
        <v>223</v>
      </c>
      <c r="F346" s="3" t="s">
        <v>259</v>
      </c>
      <c r="G346" s="3" t="s">
        <v>260</v>
      </c>
      <c r="H346" s="4" t="s">
        <v>331</v>
      </c>
      <c r="I346" s="3"/>
    </row>
    <row r="347" spans="1:9" ht="15" customHeight="1" x14ac:dyDescent="0.25">
      <c r="A347" s="5">
        <v>1085307929</v>
      </c>
      <c r="B347" s="3" t="s">
        <v>1175</v>
      </c>
      <c r="C347" s="3" t="s">
        <v>178</v>
      </c>
      <c r="D347" s="3" t="s">
        <v>1176</v>
      </c>
      <c r="E347" s="3" t="s">
        <v>223</v>
      </c>
      <c r="F347" s="3" t="s">
        <v>228</v>
      </c>
      <c r="G347" s="4" t="s">
        <v>23</v>
      </c>
      <c r="H347" s="4" t="s">
        <v>377</v>
      </c>
      <c r="I347" s="3"/>
    </row>
    <row r="348" spans="1:9" ht="15" customHeight="1" x14ac:dyDescent="0.25">
      <c r="A348" s="5">
        <v>1084223152</v>
      </c>
      <c r="B348" s="3" t="s">
        <v>1177</v>
      </c>
      <c r="C348" s="3" t="s">
        <v>1178</v>
      </c>
      <c r="D348" s="3" t="s">
        <v>1179</v>
      </c>
      <c r="E348" s="3" t="s">
        <v>223</v>
      </c>
      <c r="F348" s="3" t="s">
        <v>259</v>
      </c>
      <c r="G348" s="3" t="s">
        <v>260</v>
      </c>
      <c r="H348" s="4" t="s">
        <v>429</v>
      </c>
      <c r="I348" s="3"/>
    </row>
    <row r="349" spans="1:9" ht="15" customHeight="1" x14ac:dyDescent="0.25">
      <c r="A349" s="5">
        <v>1085255070</v>
      </c>
      <c r="B349" s="3" t="s">
        <v>1180</v>
      </c>
      <c r="C349" s="3" t="s">
        <v>1181</v>
      </c>
      <c r="D349" s="3" t="s">
        <v>1182</v>
      </c>
      <c r="E349" s="3" t="s">
        <v>223</v>
      </c>
      <c r="F349" s="3" t="s">
        <v>259</v>
      </c>
      <c r="G349" s="3" t="s">
        <v>260</v>
      </c>
      <c r="H349" s="4" t="s">
        <v>357</v>
      </c>
      <c r="I349" s="3"/>
    </row>
    <row r="350" spans="1:9" ht="15" customHeight="1" x14ac:dyDescent="0.25">
      <c r="A350" s="5">
        <v>1085301213</v>
      </c>
      <c r="B350" s="3" t="s">
        <v>1183</v>
      </c>
      <c r="C350" s="3" t="s">
        <v>1184</v>
      </c>
      <c r="D350" s="3" t="s">
        <v>1185</v>
      </c>
      <c r="E350" s="3" t="s">
        <v>223</v>
      </c>
      <c r="F350" s="3" t="s">
        <v>259</v>
      </c>
      <c r="G350" s="3" t="s">
        <v>260</v>
      </c>
      <c r="H350" s="4" t="s">
        <v>87</v>
      </c>
      <c r="I350" s="3"/>
    </row>
    <row r="351" spans="1:9" ht="15" customHeight="1" x14ac:dyDescent="0.25">
      <c r="A351" s="5">
        <v>1085325059</v>
      </c>
      <c r="B351" s="3" t="s">
        <v>1186</v>
      </c>
      <c r="C351" s="3" t="s">
        <v>1187</v>
      </c>
      <c r="D351" s="3" t="s">
        <v>1188</v>
      </c>
      <c r="E351" s="3" t="s">
        <v>223</v>
      </c>
      <c r="F351" s="3" t="s">
        <v>259</v>
      </c>
      <c r="G351" s="3" t="s">
        <v>260</v>
      </c>
      <c r="H351" s="4" t="s">
        <v>236</v>
      </c>
      <c r="I351" s="3"/>
    </row>
    <row r="352" spans="1:9" ht="15" customHeight="1" x14ac:dyDescent="0.25">
      <c r="A352" s="5">
        <v>1086018930</v>
      </c>
      <c r="B352" s="3" t="s">
        <v>1189</v>
      </c>
      <c r="C352" s="3" t="s">
        <v>1190</v>
      </c>
      <c r="D352" s="3" t="s">
        <v>1191</v>
      </c>
      <c r="E352" s="3" t="s">
        <v>223</v>
      </c>
      <c r="F352" s="3" t="s">
        <v>259</v>
      </c>
      <c r="G352" s="3" t="s">
        <v>260</v>
      </c>
      <c r="H352" s="4" t="s">
        <v>46</v>
      </c>
      <c r="I352" s="3"/>
    </row>
    <row r="353" spans="1:9" ht="15" customHeight="1" x14ac:dyDescent="0.25">
      <c r="A353" s="5">
        <v>36951627</v>
      </c>
      <c r="B353" s="3" t="s">
        <v>1192</v>
      </c>
      <c r="C353" s="3" t="s">
        <v>1193</v>
      </c>
      <c r="D353" s="3" t="s">
        <v>1194</v>
      </c>
      <c r="E353" s="3" t="s">
        <v>223</v>
      </c>
      <c r="F353" s="3" t="s">
        <v>259</v>
      </c>
      <c r="G353" s="3" t="s">
        <v>260</v>
      </c>
      <c r="H353" s="4" t="s">
        <v>429</v>
      </c>
      <c r="I353" s="3"/>
    </row>
    <row r="354" spans="1:9" ht="15" customHeight="1" x14ac:dyDescent="0.25">
      <c r="A354" s="5">
        <v>1085319071</v>
      </c>
      <c r="B354" s="3" t="s">
        <v>1195</v>
      </c>
      <c r="C354" s="3" t="s">
        <v>1196</v>
      </c>
      <c r="D354" s="3" t="s">
        <v>1197</v>
      </c>
      <c r="E354" s="3" t="s">
        <v>223</v>
      </c>
      <c r="F354" s="3" t="s">
        <v>259</v>
      </c>
      <c r="G354" s="3" t="s">
        <v>2</v>
      </c>
      <c r="H354" s="4" t="s">
        <v>3</v>
      </c>
      <c r="I354" s="3"/>
    </row>
    <row r="355" spans="1:9" ht="15" customHeight="1" x14ac:dyDescent="0.25">
      <c r="A355" s="5">
        <v>12753597</v>
      </c>
      <c r="B355" s="3" t="s">
        <v>1198</v>
      </c>
      <c r="C355" s="3" t="s">
        <v>1199</v>
      </c>
      <c r="D355" s="3" t="s">
        <v>1200</v>
      </c>
      <c r="E355" s="3" t="s">
        <v>223</v>
      </c>
      <c r="F355" s="3" t="s">
        <v>259</v>
      </c>
      <c r="G355" s="3" t="s">
        <v>260</v>
      </c>
      <c r="H355" s="4" t="s">
        <v>1201</v>
      </c>
      <c r="I355" s="3"/>
    </row>
    <row r="356" spans="1:9" ht="15" customHeight="1" x14ac:dyDescent="0.25">
      <c r="A356" s="5">
        <v>87472960</v>
      </c>
      <c r="B356" s="3" t="s">
        <v>99</v>
      </c>
      <c r="C356" s="3" t="s">
        <v>1202</v>
      </c>
      <c r="D356" s="3" t="s">
        <v>1203</v>
      </c>
      <c r="E356" s="3" t="s">
        <v>223</v>
      </c>
      <c r="F356" s="3" t="s">
        <v>228</v>
      </c>
      <c r="G356" s="4" t="s">
        <v>1204</v>
      </c>
      <c r="H356" s="4" t="s">
        <v>12</v>
      </c>
      <c r="I356" s="3"/>
    </row>
    <row r="357" spans="1:9" ht="15" customHeight="1" x14ac:dyDescent="0.25">
      <c r="A357" s="3"/>
      <c r="B357" s="3" t="s">
        <v>1205</v>
      </c>
      <c r="C357" s="3" t="s">
        <v>245</v>
      </c>
      <c r="D357" s="3" t="s">
        <v>1206</v>
      </c>
      <c r="E357" s="3" t="s">
        <v>223</v>
      </c>
      <c r="F357" s="3" t="s">
        <v>219</v>
      </c>
      <c r="G357" s="3"/>
      <c r="H357" s="4" t="s">
        <v>247</v>
      </c>
      <c r="I357" s="3"/>
    </row>
    <row r="358" spans="1:9" ht="15" customHeight="1" x14ac:dyDescent="0.25">
      <c r="A358" s="5">
        <v>30709635</v>
      </c>
      <c r="B358" s="3" t="s">
        <v>196</v>
      </c>
      <c r="C358" s="3" t="s">
        <v>1207</v>
      </c>
      <c r="D358" s="3" t="s">
        <v>1208</v>
      </c>
      <c r="E358" s="3" t="s">
        <v>223</v>
      </c>
      <c r="F358" s="3" t="s">
        <v>243</v>
      </c>
      <c r="G358" s="4" t="s">
        <v>197</v>
      </c>
      <c r="H358" s="4" t="s">
        <v>1209</v>
      </c>
      <c r="I358" s="3"/>
    </row>
    <row r="359" spans="1:9" ht="15" customHeight="1" x14ac:dyDescent="0.25">
      <c r="A359" s="5">
        <v>30730828</v>
      </c>
      <c r="B359" s="3" t="s">
        <v>1210</v>
      </c>
      <c r="C359" s="3" t="s">
        <v>1211</v>
      </c>
      <c r="D359" s="3" t="s">
        <v>1212</v>
      </c>
      <c r="E359" s="3" t="s">
        <v>223</v>
      </c>
      <c r="F359" s="3" t="s">
        <v>259</v>
      </c>
      <c r="G359" s="3" t="s">
        <v>260</v>
      </c>
      <c r="H359" s="4" t="s">
        <v>10</v>
      </c>
      <c r="I359" s="3"/>
    </row>
    <row r="360" spans="1:9" ht="15" customHeight="1" x14ac:dyDescent="0.25">
      <c r="A360" s="5">
        <v>27086927</v>
      </c>
      <c r="B360" s="3" t="s">
        <v>148</v>
      </c>
      <c r="C360" s="3" t="s">
        <v>1213</v>
      </c>
      <c r="D360" s="3" t="s">
        <v>1214</v>
      </c>
      <c r="E360" s="3" t="s">
        <v>223</v>
      </c>
      <c r="F360" s="3" t="s">
        <v>243</v>
      </c>
      <c r="G360" s="4" t="s">
        <v>144</v>
      </c>
      <c r="H360" s="4" t="s">
        <v>240</v>
      </c>
      <c r="I360" s="3"/>
    </row>
    <row r="361" spans="1:9" ht="15" customHeight="1" x14ac:dyDescent="0.25">
      <c r="A361" s="5">
        <v>1085273659</v>
      </c>
      <c r="B361" s="3" t="s">
        <v>174</v>
      </c>
      <c r="C361" s="3" t="s">
        <v>1215</v>
      </c>
      <c r="D361" s="3" t="s">
        <v>1216</v>
      </c>
      <c r="E361" s="3" t="s">
        <v>223</v>
      </c>
      <c r="F361" s="3" t="s">
        <v>228</v>
      </c>
      <c r="G361" s="4" t="s">
        <v>225</v>
      </c>
      <c r="H361" s="4" t="s">
        <v>432</v>
      </c>
      <c r="I361" s="3"/>
    </row>
    <row r="362" spans="1:9" ht="15" customHeight="1" x14ac:dyDescent="0.25">
      <c r="A362" s="5">
        <v>36756261</v>
      </c>
      <c r="B362" s="3" t="s">
        <v>1217</v>
      </c>
      <c r="C362" s="3" t="s">
        <v>1218</v>
      </c>
      <c r="D362" s="3" t="s">
        <v>1219</v>
      </c>
      <c r="E362" s="3" t="s">
        <v>223</v>
      </c>
      <c r="F362" s="3" t="s">
        <v>259</v>
      </c>
      <c r="G362" s="3" t="s">
        <v>260</v>
      </c>
      <c r="H362" s="4" t="s">
        <v>365</v>
      </c>
      <c r="I362" s="3"/>
    </row>
    <row r="363" spans="1:9" ht="15" customHeight="1" x14ac:dyDescent="0.25">
      <c r="A363" s="5">
        <v>1084223558</v>
      </c>
      <c r="B363" s="3" t="s">
        <v>1220</v>
      </c>
      <c r="C363" s="3" t="s">
        <v>1221</v>
      </c>
      <c r="D363" s="3" t="s">
        <v>1222</v>
      </c>
      <c r="E363" s="3" t="s">
        <v>223</v>
      </c>
      <c r="F363" s="3" t="s">
        <v>259</v>
      </c>
      <c r="G363" s="3" t="s">
        <v>260</v>
      </c>
      <c r="H363" s="4" t="s">
        <v>531</v>
      </c>
      <c r="I363" s="3"/>
    </row>
    <row r="364" spans="1:9" ht="15" customHeight="1" x14ac:dyDescent="0.25">
      <c r="A364" s="3"/>
      <c r="B364" s="3" t="s">
        <v>1223</v>
      </c>
      <c r="C364" s="3" t="s">
        <v>1224</v>
      </c>
      <c r="D364" s="3" t="s">
        <v>1225</v>
      </c>
      <c r="E364" s="3" t="s">
        <v>223</v>
      </c>
      <c r="F364" s="3" t="s">
        <v>219</v>
      </c>
      <c r="G364" s="3"/>
      <c r="H364" s="4" t="s">
        <v>410</v>
      </c>
      <c r="I364" s="3"/>
    </row>
    <row r="365" spans="1:9" ht="15" customHeight="1" x14ac:dyDescent="0.25">
      <c r="A365" s="5">
        <v>59816174</v>
      </c>
      <c r="B365" s="3" t="s">
        <v>1226</v>
      </c>
      <c r="C365" s="3" t="s">
        <v>1227</v>
      </c>
      <c r="D365" s="3" t="s">
        <v>1228</v>
      </c>
      <c r="E365" s="3" t="s">
        <v>223</v>
      </c>
      <c r="F365" s="3" t="s">
        <v>224</v>
      </c>
      <c r="G365" s="3" t="s">
        <v>2</v>
      </c>
      <c r="H365" s="4" t="s">
        <v>410</v>
      </c>
      <c r="I365" s="3"/>
    </row>
    <row r="366" spans="1:9" ht="15" customHeight="1" x14ac:dyDescent="0.25">
      <c r="A366" s="5">
        <v>27080790</v>
      </c>
      <c r="B366" s="3" t="s">
        <v>19</v>
      </c>
      <c r="C366" s="3" t="s">
        <v>1229</v>
      </c>
      <c r="D366" s="3" t="s">
        <v>1230</v>
      </c>
      <c r="E366" s="3" t="s">
        <v>223</v>
      </c>
      <c r="F366" s="3" t="s">
        <v>243</v>
      </c>
      <c r="G366" s="4" t="s">
        <v>1231</v>
      </c>
      <c r="H366" s="4" t="s">
        <v>3</v>
      </c>
      <c r="I366" s="3"/>
    </row>
    <row r="367" spans="1:9" ht="15" customHeight="1" x14ac:dyDescent="0.25">
      <c r="A367" s="5">
        <v>59831538</v>
      </c>
      <c r="B367" s="3" t="s">
        <v>1232</v>
      </c>
      <c r="C367" s="3" t="s">
        <v>1233</v>
      </c>
      <c r="D367" s="3" t="s">
        <v>1234</v>
      </c>
      <c r="E367" s="3" t="s">
        <v>223</v>
      </c>
      <c r="F367" s="3" t="s">
        <v>259</v>
      </c>
      <c r="G367" s="3" t="s">
        <v>260</v>
      </c>
      <c r="H367" s="4" t="s">
        <v>1235</v>
      </c>
      <c r="I367" s="3"/>
    </row>
    <row r="368" spans="1:9" ht="15" customHeight="1" x14ac:dyDescent="0.25">
      <c r="A368" s="5">
        <v>1061713768</v>
      </c>
      <c r="B368" s="3" t="s">
        <v>1236</v>
      </c>
      <c r="C368" s="3" t="s">
        <v>1237</v>
      </c>
      <c r="D368" s="3" t="s">
        <v>1238</v>
      </c>
      <c r="E368" s="3" t="s">
        <v>223</v>
      </c>
      <c r="F368" s="3" t="s">
        <v>259</v>
      </c>
      <c r="G368" s="3" t="s">
        <v>260</v>
      </c>
      <c r="H368" s="4" t="s">
        <v>1235</v>
      </c>
      <c r="I368" s="3"/>
    </row>
    <row r="369" spans="1:9" ht="15" customHeight="1" x14ac:dyDescent="0.25">
      <c r="A369" s="5">
        <v>31873076</v>
      </c>
      <c r="B369" s="3" t="s">
        <v>108</v>
      </c>
      <c r="C369" s="3" t="s">
        <v>1239</v>
      </c>
      <c r="D369" s="3" t="s">
        <v>1155</v>
      </c>
      <c r="E369" s="3" t="s">
        <v>223</v>
      </c>
      <c r="F369" s="3" t="s">
        <v>224</v>
      </c>
      <c r="G369" s="4" t="s">
        <v>50</v>
      </c>
      <c r="H369" s="4" t="s">
        <v>44</v>
      </c>
      <c r="I369" s="3"/>
    </row>
    <row r="370" spans="1:9" ht="15" customHeight="1" x14ac:dyDescent="0.25">
      <c r="A370" s="5">
        <v>59835505</v>
      </c>
      <c r="B370" s="3" t="s">
        <v>1240</v>
      </c>
      <c r="C370" s="3" t="s">
        <v>1241</v>
      </c>
      <c r="D370" s="3" t="s">
        <v>1242</v>
      </c>
      <c r="E370" s="3" t="s">
        <v>223</v>
      </c>
      <c r="F370" s="3" t="s">
        <v>259</v>
      </c>
      <c r="G370" s="3" t="s">
        <v>260</v>
      </c>
      <c r="H370" s="4" t="s">
        <v>46</v>
      </c>
      <c r="I370" s="3"/>
    </row>
    <row r="371" spans="1:9" ht="15" customHeight="1" x14ac:dyDescent="0.25">
      <c r="A371" s="5">
        <v>1144164109</v>
      </c>
      <c r="B371" s="3" t="s">
        <v>1243</v>
      </c>
      <c r="C371" s="3" t="s">
        <v>1244</v>
      </c>
      <c r="D371" s="3" t="s">
        <v>1245</v>
      </c>
      <c r="E371" s="3" t="s">
        <v>223</v>
      </c>
      <c r="F371" s="3" t="s">
        <v>259</v>
      </c>
      <c r="G371" s="3" t="s">
        <v>260</v>
      </c>
      <c r="H371" s="4" t="s">
        <v>397</v>
      </c>
      <c r="I371" s="3"/>
    </row>
    <row r="372" spans="1:9" ht="15" customHeight="1" x14ac:dyDescent="0.25">
      <c r="A372" s="5">
        <v>30728194</v>
      </c>
      <c r="B372" s="3" t="s">
        <v>58</v>
      </c>
      <c r="C372" s="3" t="s">
        <v>1246</v>
      </c>
      <c r="D372" s="3" t="s">
        <v>1247</v>
      </c>
      <c r="E372" s="3" t="s">
        <v>223</v>
      </c>
      <c r="F372" s="3" t="s">
        <v>224</v>
      </c>
      <c r="G372" s="4" t="s">
        <v>50</v>
      </c>
      <c r="H372" s="4" t="s">
        <v>1235</v>
      </c>
      <c r="I372" s="3"/>
    </row>
    <row r="373" spans="1:9" ht="15" customHeight="1" x14ac:dyDescent="0.25">
      <c r="A373" s="5">
        <v>87103139</v>
      </c>
      <c r="B373" s="3" t="s">
        <v>1248</v>
      </c>
      <c r="C373" s="3" t="s">
        <v>1249</v>
      </c>
      <c r="D373" s="3" t="s">
        <v>1250</v>
      </c>
      <c r="E373" s="3" t="s">
        <v>223</v>
      </c>
      <c r="F373" s="3" t="s">
        <v>259</v>
      </c>
      <c r="G373" s="3" t="s">
        <v>260</v>
      </c>
      <c r="H373" s="4" t="s">
        <v>320</v>
      </c>
      <c r="I373" s="3"/>
    </row>
    <row r="374" spans="1:9" ht="15" customHeight="1" x14ac:dyDescent="0.25">
      <c r="A374" s="5">
        <v>1085310721</v>
      </c>
      <c r="B374" s="3" t="s">
        <v>89</v>
      </c>
      <c r="C374" s="3" t="s">
        <v>1251</v>
      </c>
      <c r="D374" s="3" t="s">
        <v>1252</v>
      </c>
      <c r="E374" s="3" t="s">
        <v>223</v>
      </c>
      <c r="F374" s="3" t="s">
        <v>259</v>
      </c>
      <c r="G374" s="3" t="s">
        <v>260</v>
      </c>
      <c r="H374" s="4" t="s">
        <v>3</v>
      </c>
      <c r="I374" s="3"/>
    </row>
    <row r="375" spans="1:9" ht="15" customHeight="1" x14ac:dyDescent="0.25">
      <c r="A375" s="5">
        <v>1010161274</v>
      </c>
      <c r="B375" s="3" t="s">
        <v>89</v>
      </c>
      <c r="C375" s="3" t="s">
        <v>1253</v>
      </c>
      <c r="D375" s="3" t="s">
        <v>1254</v>
      </c>
      <c r="E375" s="3" t="s">
        <v>223</v>
      </c>
      <c r="F375" s="3" t="s">
        <v>259</v>
      </c>
      <c r="G375" s="3" t="s">
        <v>260</v>
      </c>
      <c r="H375" s="4" t="s">
        <v>42</v>
      </c>
      <c r="I375" s="3"/>
    </row>
    <row r="376" spans="1:9" ht="15" customHeight="1" x14ac:dyDescent="0.25">
      <c r="A376" s="5">
        <v>98379086</v>
      </c>
      <c r="B376" s="3" t="s">
        <v>89</v>
      </c>
      <c r="C376" s="3" t="s">
        <v>1255</v>
      </c>
      <c r="D376" s="3" t="s">
        <v>1256</v>
      </c>
      <c r="E376" s="3" t="s">
        <v>223</v>
      </c>
      <c r="F376" s="3" t="s">
        <v>224</v>
      </c>
      <c r="G376" s="4" t="s">
        <v>1257</v>
      </c>
      <c r="H376" s="4" t="s">
        <v>410</v>
      </c>
      <c r="I376" s="3"/>
    </row>
    <row r="377" spans="1:9" ht="15" customHeight="1" x14ac:dyDescent="0.25">
      <c r="A377" s="5">
        <v>1085275589</v>
      </c>
      <c r="B377" s="3" t="s">
        <v>89</v>
      </c>
      <c r="C377" s="3" t="s">
        <v>1258</v>
      </c>
      <c r="D377" s="3" t="s">
        <v>1259</v>
      </c>
      <c r="E377" s="3" t="s">
        <v>223</v>
      </c>
      <c r="F377" s="3" t="s">
        <v>259</v>
      </c>
      <c r="G377" s="3" t="s">
        <v>260</v>
      </c>
      <c r="H377" s="4" t="s">
        <v>263</v>
      </c>
      <c r="I377" s="3"/>
    </row>
    <row r="378" spans="1:9" ht="15" customHeight="1" x14ac:dyDescent="0.25">
      <c r="A378" s="5">
        <v>12990747</v>
      </c>
      <c r="B378" s="3" t="s">
        <v>64</v>
      </c>
      <c r="C378" s="3" t="s">
        <v>1260</v>
      </c>
      <c r="D378" s="3" t="s">
        <v>1261</v>
      </c>
      <c r="E378" s="3" t="s">
        <v>223</v>
      </c>
      <c r="F378" s="3" t="s">
        <v>259</v>
      </c>
      <c r="G378" s="3" t="s">
        <v>260</v>
      </c>
      <c r="H378" s="4" t="s">
        <v>1262</v>
      </c>
      <c r="I378" s="3"/>
    </row>
    <row r="379" spans="1:9" ht="15" customHeight="1" x14ac:dyDescent="0.25">
      <c r="A379" s="5">
        <v>13062280</v>
      </c>
      <c r="B379" s="3" t="s">
        <v>93</v>
      </c>
      <c r="C379" s="3" t="s">
        <v>92</v>
      </c>
      <c r="D379" s="3" t="s">
        <v>1263</v>
      </c>
      <c r="E379" s="3" t="s">
        <v>223</v>
      </c>
      <c r="F379" s="3" t="s">
        <v>224</v>
      </c>
      <c r="G379" s="3" t="s">
        <v>452</v>
      </c>
      <c r="H379" s="4" t="s">
        <v>10</v>
      </c>
      <c r="I379" s="3"/>
    </row>
    <row r="380" spans="1:9" ht="15" customHeight="1" x14ac:dyDescent="0.25">
      <c r="A380" s="5">
        <v>12978396</v>
      </c>
      <c r="B380" s="3" t="s">
        <v>1264</v>
      </c>
      <c r="C380" s="3" t="s">
        <v>1265</v>
      </c>
      <c r="D380" s="3" t="s">
        <v>1266</v>
      </c>
      <c r="E380" s="3" t="s">
        <v>223</v>
      </c>
      <c r="F380" s="3" t="s">
        <v>259</v>
      </c>
      <c r="G380" s="3" t="s">
        <v>260</v>
      </c>
      <c r="H380" s="4" t="s">
        <v>365</v>
      </c>
      <c r="I380" s="3"/>
    </row>
    <row r="381" spans="1:9" ht="15" customHeight="1" x14ac:dyDescent="0.25">
      <c r="A381" s="5">
        <v>12967869</v>
      </c>
      <c r="B381" s="3" t="s">
        <v>1267</v>
      </c>
      <c r="C381" s="3" t="s">
        <v>794</v>
      </c>
      <c r="D381" s="3" t="s">
        <v>1268</v>
      </c>
      <c r="E381" s="3" t="s">
        <v>218</v>
      </c>
      <c r="F381" s="3" t="s">
        <v>259</v>
      </c>
      <c r="G381" s="3" t="s">
        <v>260</v>
      </c>
      <c r="H381" s="4" t="s">
        <v>263</v>
      </c>
      <c r="I381" s="3"/>
    </row>
    <row r="382" spans="1:9" ht="15" customHeight="1" x14ac:dyDescent="0.25">
      <c r="A382" s="5">
        <v>12972218</v>
      </c>
      <c r="B382" s="3" t="s">
        <v>160</v>
      </c>
      <c r="C382" s="3" t="s">
        <v>1269</v>
      </c>
      <c r="D382" s="3" t="s">
        <v>1270</v>
      </c>
      <c r="E382" s="3" t="s">
        <v>223</v>
      </c>
      <c r="F382" s="3" t="s">
        <v>224</v>
      </c>
      <c r="G382" s="4" t="s">
        <v>798</v>
      </c>
      <c r="H382" s="4" t="s">
        <v>240</v>
      </c>
      <c r="I382" s="3"/>
    </row>
    <row r="383" spans="1:9" ht="15" customHeight="1" x14ac:dyDescent="0.25">
      <c r="A383" s="5">
        <v>1144049720</v>
      </c>
      <c r="B383" s="3" t="s">
        <v>1271</v>
      </c>
      <c r="C383" s="3" t="s">
        <v>1272</v>
      </c>
      <c r="D383" s="3" t="s">
        <v>1273</v>
      </c>
      <c r="E383" s="3" t="s">
        <v>223</v>
      </c>
      <c r="F383" s="3" t="s">
        <v>259</v>
      </c>
      <c r="G383" s="3" t="s">
        <v>260</v>
      </c>
      <c r="H383" s="4" t="s">
        <v>683</v>
      </c>
      <c r="I383" s="3"/>
    </row>
    <row r="384" spans="1:9" ht="15" customHeight="1" x14ac:dyDescent="0.25">
      <c r="A384" s="5">
        <v>27255475</v>
      </c>
      <c r="B384" s="3" t="s">
        <v>1274</v>
      </c>
      <c r="C384" s="3" t="s">
        <v>1275</v>
      </c>
      <c r="D384" s="3" t="s">
        <v>1276</v>
      </c>
      <c r="E384" s="3" t="s">
        <v>223</v>
      </c>
      <c r="F384" s="3" t="s">
        <v>259</v>
      </c>
      <c r="G384" s="3" t="s">
        <v>260</v>
      </c>
      <c r="H384" s="4" t="s">
        <v>24</v>
      </c>
      <c r="I384" s="3"/>
    </row>
    <row r="385" spans="1:9" ht="15" customHeight="1" x14ac:dyDescent="0.25">
      <c r="A385" s="5">
        <v>36755740</v>
      </c>
      <c r="B385" s="3" t="s">
        <v>47</v>
      </c>
      <c r="C385" s="3" t="s">
        <v>1277</v>
      </c>
      <c r="D385" s="3" t="s">
        <v>1278</v>
      </c>
      <c r="E385" s="3" t="s">
        <v>223</v>
      </c>
      <c r="F385" s="3" t="s">
        <v>228</v>
      </c>
      <c r="G385" s="4" t="s">
        <v>542</v>
      </c>
      <c r="H385" s="4" t="s">
        <v>304</v>
      </c>
      <c r="I385" s="3"/>
    </row>
    <row r="386" spans="1:9" ht="15" customHeight="1" x14ac:dyDescent="0.25">
      <c r="A386" s="5">
        <v>30745647</v>
      </c>
      <c r="B386" s="3" t="s">
        <v>47</v>
      </c>
      <c r="C386" s="3" t="s">
        <v>1279</v>
      </c>
      <c r="D386" s="3" t="s">
        <v>1280</v>
      </c>
      <c r="E386" s="3" t="s">
        <v>223</v>
      </c>
      <c r="F386" s="3" t="s">
        <v>224</v>
      </c>
      <c r="G386" s="4" t="s">
        <v>6</v>
      </c>
      <c r="H386" s="4" t="s">
        <v>240</v>
      </c>
      <c r="I386" s="3"/>
    </row>
    <row r="387" spans="1:9" ht="15" customHeight="1" x14ac:dyDescent="0.25">
      <c r="A387" s="5">
        <v>30733920</v>
      </c>
      <c r="B387" s="3" t="s">
        <v>1281</v>
      </c>
      <c r="C387" s="3" t="s">
        <v>1282</v>
      </c>
      <c r="D387" s="3" t="s">
        <v>1283</v>
      </c>
      <c r="E387" s="3" t="s">
        <v>223</v>
      </c>
      <c r="F387" s="3" t="s">
        <v>259</v>
      </c>
      <c r="G387" s="3" t="s">
        <v>260</v>
      </c>
      <c r="H387" s="4" t="s">
        <v>683</v>
      </c>
      <c r="I387" s="3"/>
    </row>
    <row r="388" spans="1:9" ht="15" customHeight="1" x14ac:dyDescent="0.25">
      <c r="A388" s="5">
        <v>59312191</v>
      </c>
      <c r="B388" s="3" t="s">
        <v>1284</v>
      </c>
      <c r="C388" s="3" t="s">
        <v>1285</v>
      </c>
      <c r="D388" s="3" t="s">
        <v>1286</v>
      </c>
      <c r="E388" s="3" t="s">
        <v>223</v>
      </c>
      <c r="F388" s="3" t="s">
        <v>259</v>
      </c>
      <c r="G388" s="3" t="s">
        <v>260</v>
      </c>
      <c r="H388" s="4" t="s">
        <v>24</v>
      </c>
      <c r="I388" s="3"/>
    </row>
    <row r="389" spans="1:9" ht="15" customHeight="1" x14ac:dyDescent="0.25">
      <c r="A389" s="5">
        <v>59819234</v>
      </c>
      <c r="B389" s="3" t="s">
        <v>1287</v>
      </c>
      <c r="C389" s="3" t="s">
        <v>1288</v>
      </c>
      <c r="D389" s="3" t="s">
        <v>1289</v>
      </c>
      <c r="E389" s="3" t="s">
        <v>223</v>
      </c>
      <c r="F389" s="3" t="s">
        <v>259</v>
      </c>
      <c r="G389" s="3" t="s">
        <v>260</v>
      </c>
      <c r="H389" s="4" t="s">
        <v>365</v>
      </c>
      <c r="I389" s="3"/>
    </row>
    <row r="390" spans="1:9" ht="15" customHeight="1" x14ac:dyDescent="0.25">
      <c r="A390" s="5">
        <v>1085932709</v>
      </c>
      <c r="B390" s="3" t="s">
        <v>1291</v>
      </c>
      <c r="C390" s="3" t="s">
        <v>1292</v>
      </c>
      <c r="D390" s="3" t="s">
        <v>1293</v>
      </c>
      <c r="E390" s="3" t="s">
        <v>223</v>
      </c>
      <c r="F390" s="3" t="s">
        <v>259</v>
      </c>
      <c r="G390" s="3" t="s">
        <v>260</v>
      </c>
      <c r="H390" s="4" t="s">
        <v>3</v>
      </c>
      <c r="I390" s="3"/>
    </row>
    <row r="391" spans="1:9" ht="15" customHeight="1" x14ac:dyDescent="0.25">
      <c r="A391" s="5">
        <v>36953218</v>
      </c>
      <c r="B391" s="3" t="s">
        <v>1291</v>
      </c>
      <c r="C391" s="3" t="s">
        <v>1294</v>
      </c>
      <c r="D391" s="3" t="s">
        <v>1295</v>
      </c>
      <c r="E391" s="3" t="s">
        <v>223</v>
      </c>
      <c r="F391" s="3" t="s">
        <v>259</v>
      </c>
      <c r="G391" s="3" t="s">
        <v>260</v>
      </c>
      <c r="H391" s="4" t="s">
        <v>236</v>
      </c>
      <c r="I391" s="3"/>
    </row>
    <row r="392" spans="1:9" ht="15" customHeight="1" x14ac:dyDescent="0.25">
      <c r="A392" s="5">
        <v>1085254774</v>
      </c>
      <c r="B392" s="3" t="s">
        <v>1296</v>
      </c>
      <c r="C392" s="3" t="s">
        <v>1297</v>
      </c>
      <c r="D392" s="3" t="s">
        <v>1298</v>
      </c>
      <c r="E392" s="3" t="s">
        <v>223</v>
      </c>
      <c r="F392" s="3" t="s">
        <v>259</v>
      </c>
      <c r="G392" s="3" t="s">
        <v>260</v>
      </c>
      <c r="H392" s="4" t="s">
        <v>3</v>
      </c>
      <c r="I392" s="3"/>
    </row>
    <row r="393" spans="1:9" ht="15" customHeight="1" x14ac:dyDescent="0.25">
      <c r="A393" s="5">
        <v>27297586</v>
      </c>
      <c r="B393" s="3" t="s">
        <v>181</v>
      </c>
      <c r="C393" s="3" t="s">
        <v>1299</v>
      </c>
      <c r="D393" s="3" t="s">
        <v>1300</v>
      </c>
      <c r="E393" s="3" t="s">
        <v>223</v>
      </c>
      <c r="F393" s="3" t="s">
        <v>243</v>
      </c>
      <c r="G393" s="4" t="s">
        <v>694</v>
      </c>
      <c r="H393" s="4" t="s">
        <v>1301</v>
      </c>
      <c r="I393" s="3"/>
    </row>
    <row r="394" spans="1:9" ht="15" customHeight="1" x14ac:dyDescent="0.25">
      <c r="A394" s="5">
        <v>37085443</v>
      </c>
      <c r="B394" s="3" t="s">
        <v>170</v>
      </c>
      <c r="C394" s="3" t="s">
        <v>1302</v>
      </c>
      <c r="D394" s="3" t="s">
        <v>1303</v>
      </c>
      <c r="E394" s="3" t="s">
        <v>223</v>
      </c>
      <c r="F394" s="3" t="s">
        <v>228</v>
      </c>
      <c r="G394" s="4" t="s">
        <v>6</v>
      </c>
      <c r="H394" s="4" t="s">
        <v>78</v>
      </c>
      <c r="I394" s="3"/>
    </row>
    <row r="395" spans="1:9" ht="15" customHeight="1" x14ac:dyDescent="0.25">
      <c r="A395" s="5">
        <v>30736597</v>
      </c>
      <c r="B395" s="3" t="s">
        <v>1304</v>
      </c>
      <c r="C395" s="3" t="s">
        <v>1305</v>
      </c>
      <c r="D395" s="3" t="s">
        <v>1306</v>
      </c>
      <c r="E395" s="3" t="s">
        <v>223</v>
      </c>
      <c r="F395" s="3" t="s">
        <v>232</v>
      </c>
      <c r="G395" s="4" t="s">
        <v>1307</v>
      </c>
      <c r="H395" s="4" t="s">
        <v>24</v>
      </c>
      <c r="I395" s="3"/>
    </row>
    <row r="396" spans="1:9" ht="15" customHeight="1" x14ac:dyDescent="0.25">
      <c r="A396" s="5">
        <v>1018467842</v>
      </c>
      <c r="B396" s="3" t="s">
        <v>1308</v>
      </c>
      <c r="C396" s="3" t="s">
        <v>1309</v>
      </c>
      <c r="D396" s="3" t="s">
        <v>1310</v>
      </c>
      <c r="E396" s="3" t="s">
        <v>223</v>
      </c>
      <c r="F396" s="3" t="s">
        <v>259</v>
      </c>
      <c r="G396" s="3" t="s">
        <v>260</v>
      </c>
      <c r="H396" s="4" t="s">
        <v>3</v>
      </c>
      <c r="I396" s="3"/>
    </row>
    <row r="397" spans="1:9" ht="15" customHeight="1" x14ac:dyDescent="0.25">
      <c r="A397" s="5">
        <v>30715026</v>
      </c>
      <c r="B397" s="3" t="s">
        <v>129</v>
      </c>
      <c r="C397" s="3" t="s">
        <v>1311</v>
      </c>
      <c r="D397" s="3" t="s">
        <v>1312</v>
      </c>
      <c r="E397" s="3" t="s">
        <v>223</v>
      </c>
      <c r="F397" s="3" t="s">
        <v>224</v>
      </c>
      <c r="G397" s="4" t="s">
        <v>225</v>
      </c>
      <c r="H397" s="4" t="s">
        <v>377</v>
      </c>
      <c r="I397" s="3"/>
    </row>
    <row r="398" spans="1:9" ht="15" customHeight="1" x14ac:dyDescent="0.25">
      <c r="A398" s="5">
        <v>59837611</v>
      </c>
      <c r="B398" s="3" t="s">
        <v>129</v>
      </c>
      <c r="C398" s="3" t="s">
        <v>1313</v>
      </c>
      <c r="D398" s="3" t="s">
        <v>1314</v>
      </c>
      <c r="E398" s="3" t="s">
        <v>223</v>
      </c>
      <c r="F398" s="3" t="s">
        <v>243</v>
      </c>
      <c r="G398" s="4" t="s">
        <v>130</v>
      </c>
      <c r="H398" s="4" t="s">
        <v>281</v>
      </c>
      <c r="I398" s="3"/>
    </row>
    <row r="399" spans="1:9" ht="15" customHeight="1" x14ac:dyDescent="0.25">
      <c r="A399" s="5">
        <v>1085322469</v>
      </c>
      <c r="B399" s="3" t="s">
        <v>1315</v>
      </c>
      <c r="C399" s="3" t="s">
        <v>1316</v>
      </c>
      <c r="D399" s="3" t="s">
        <v>1317</v>
      </c>
      <c r="E399" s="3" t="s">
        <v>223</v>
      </c>
      <c r="F399" s="3" t="s">
        <v>259</v>
      </c>
      <c r="G399" s="3" t="s">
        <v>260</v>
      </c>
      <c r="H399" s="4" t="s">
        <v>320</v>
      </c>
      <c r="I399" s="3"/>
    </row>
    <row r="400" spans="1:9" ht="15" customHeight="1" x14ac:dyDescent="0.25">
      <c r="A400" s="5">
        <v>36850215</v>
      </c>
      <c r="B400" s="3" t="s">
        <v>1318</v>
      </c>
      <c r="C400" s="3" t="s">
        <v>1319</v>
      </c>
      <c r="D400" s="3" t="s">
        <v>1320</v>
      </c>
      <c r="E400" s="3" t="s">
        <v>223</v>
      </c>
      <c r="F400" s="3" t="s">
        <v>224</v>
      </c>
      <c r="G400" s="4" t="s">
        <v>225</v>
      </c>
      <c r="H400" s="4" t="s">
        <v>10</v>
      </c>
      <c r="I400" s="3"/>
    </row>
    <row r="401" spans="1:9" ht="15" customHeight="1" x14ac:dyDescent="0.25">
      <c r="A401" s="5">
        <v>27534949</v>
      </c>
      <c r="B401" s="3" t="s">
        <v>41</v>
      </c>
      <c r="C401" s="3" t="s">
        <v>38</v>
      </c>
      <c r="D401" s="3" t="s">
        <v>1321</v>
      </c>
      <c r="E401" s="3" t="s">
        <v>223</v>
      </c>
      <c r="F401" s="3" t="s">
        <v>243</v>
      </c>
      <c r="G401" s="4" t="s">
        <v>694</v>
      </c>
      <c r="H401" s="4" t="s">
        <v>421</v>
      </c>
      <c r="I401" s="3"/>
    </row>
    <row r="402" spans="1:9" ht="15" customHeight="1" x14ac:dyDescent="0.25">
      <c r="A402" s="5">
        <v>1085245666</v>
      </c>
      <c r="B402" s="3" t="s">
        <v>84</v>
      </c>
      <c r="C402" s="3" t="s">
        <v>1322</v>
      </c>
      <c r="D402" s="3" t="s">
        <v>1323</v>
      </c>
      <c r="E402" s="3" t="s">
        <v>223</v>
      </c>
      <c r="F402" s="3" t="s">
        <v>259</v>
      </c>
      <c r="G402" s="3" t="s">
        <v>260</v>
      </c>
      <c r="H402" s="4" t="s">
        <v>667</v>
      </c>
      <c r="I402" s="3"/>
    </row>
    <row r="403" spans="1:9" ht="15" customHeight="1" x14ac:dyDescent="0.25">
      <c r="A403" s="5">
        <v>59314314</v>
      </c>
      <c r="B403" s="3" t="s">
        <v>84</v>
      </c>
      <c r="C403" s="3" t="s">
        <v>1324</v>
      </c>
      <c r="D403" s="3" t="s">
        <v>1325</v>
      </c>
      <c r="E403" s="3" t="s">
        <v>223</v>
      </c>
      <c r="F403" s="3" t="s">
        <v>259</v>
      </c>
      <c r="G403" s="3" t="s">
        <v>260</v>
      </c>
      <c r="H403" s="4" t="s">
        <v>377</v>
      </c>
      <c r="I403" s="3"/>
    </row>
    <row r="404" spans="1:9" ht="15" customHeight="1" x14ac:dyDescent="0.25">
      <c r="A404" s="5">
        <v>27094587</v>
      </c>
      <c r="B404" s="3" t="s">
        <v>84</v>
      </c>
      <c r="C404" s="3" t="s">
        <v>1326</v>
      </c>
      <c r="D404" s="3" t="s">
        <v>1327</v>
      </c>
      <c r="E404" s="3" t="s">
        <v>223</v>
      </c>
      <c r="F404" s="3" t="s">
        <v>243</v>
      </c>
      <c r="G404" s="3" t="s">
        <v>1328</v>
      </c>
      <c r="H404" s="4" t="s">
        <v>575</v>
      </c>
      <c r="I404" s="3"/>
    </row>
    <row r="405" spans="1:9" ht="15" customHeight="1" x14ac:dyDescent="0.25">
      <c r="A405" s="5">
        <v>1085328615</v>
      </c>
      <c r="B405" s="3" t="s">
        <v>84</v>
      </c>
      <c r="C405" s="3" t="s">
        <v>1329</v>
      </c>
      <c r="D405" s="3" t="s">
        <v>1330</v>
      </c>
      <c r="E405" s="3" t="s">
        <v>223</v>
      </c>
      <c r="F405" s="3" t="s">
        <v>259</v>
      </c>
      <c r="G405" s="3" t="s">
        <v>260</v>
      </c>
      <c r="H405" s="4" t="s">
        <v>312</v>
      </c>
      <c r="I405" s="3"/>
    </row>
    <row r="406" spans="1:9" ht="15" customHeight="1" x14ac:dyDescent="0.25">
      <c r="A406" s="5">
        <v>27174622</v>
      </c>
      <c r="B406" s="3" t="s">
        <v>1331</v>
      </c>
      <c r="C406" s="3" t="s">
        <v>1332</v>
      </c>
      <c r="D406" s="3" t="s">
        <v>1333</v>
      </c>
      <c r="E406" s="3" t="s">
        <v>223</v>
      </c>
      <c r="F406" s="3" t="s">
        <v>224</v>
      </c>
      <c r="G406" s="3" t="s">
        <v>452</v>
      </c>
      <c r="H406" s="4" t="s">
        <v>10</v>
      </c>
      <c r="I406" s="3"/>
    </row>
    <row r="407" spans="1:9" ht="15" customHeight="1" x14ac:dyDescent="0.25">
      <c r="A407" s="5">
        <v>30721083</v>
      </c>
      <c r="B407" s="3" t="s">
        <v>105</v>
      </c>
      <c r="C407" s="3" t="s">
        <v>1334</v>
      </c>
      <c r="D407" s="3" t="s">
        <v>1335</v>
      </c>
      <c r="E407" s="3" t="s">
        <v>223</v>
      </c>
      <c r="F407" s="3" t="s">
        <v>224</v>
      </c>
      <c r="G407" s="4" t="s">
        <v>6</v>
      </c>
      <c r="H407" s="4" t="s">
        <v>304</v>
      </c>
      <c r="I407" s="3"/>
    </row>
    <row r="408" spans="1:9" ht="15" customHeight="1" x14ac:dyDescent="0.25">
      <c r="A408" s="5">
        <v>1004538648</v>
      </c>
      <c r="B408" s="3" t="s">
        <v>1336</v>
      </c>
      <c r="C408" s="3" t="s">
        <v>32</v>
      </c>
      <c r="D408" s="3" t="s">
        <v>1337</v>
      </c>
      <c r="E408" s="3" t="s">
        <v>223</v>
      </c>
      <c r="F408" s="3" t="s">
        <v>259</v>
      </c>
      <c r="G408" s="3" t="s">
        <v>260</v>
      </c>
      <c r="H408" s="4" t="s">
        <v>240</v>
      </c>
      <c r="I408" s="3"/>
    </row>
    <row r="409" spans="1:9" ht="15" customHeight="1" x14ac:dyDescent="0.25">
      <c r="A409" s="5">
        <v>27090288</v>
      </c>
      <c r="B409" s="3" t="s">
        <v>1338</v>
      </c>
      <c r="C409" s="3" t="s">
        <v>1339</v>
      </c>
      <c r="D409" s="3" t="s">
        <v>1340</v>
      </c>
      <c r="E409" s="3" t="s">
        <v>223</v>
      </c>
      <c r="F409" s="3" t="s">
        <v>259</v>
      </c>
      <c r="G409" s="3" t="s">
        <v>260</v>
      </c>
      <c r="H409" s="4" t="s">
        <v>247</v>
      </c>
      <c r="I409" s="3"/>
    </row>
    <row r="410" spans="1:9" ht="15" customHeight="1" x14ac:dyDescent="0.25">
      <c r="A410" s="5">
        <v>30746945</v>
      </c>
      <c r="B410" s="3" t="s">
        <v>101</v>
      </c>
      <c r="C410" s="3" t="s">
        <v>1341</v>
      </c>
      <c r="D410" s="3" t="s">
        <v>1342</v>
      </c>
      <c r="E410" s="3" t="s">
        <v>223</v>
      </c>
      <c r="F410" s="3" t="s">
        <v>224</v>
      </c>
      <c r="G410" s="4" t="s">
        <v>6</v>
      </c>
      <c r="H410" s="4" t="s">
        <v>46</v>
      </c>
      <c r="I410" s="3"/>
    </row>
    <row r="411" spans="1:9" ht="15" customHeight="1" x14ac:dyDescent="0.25">
      <c r="A411" s="5">
        <v>27380515</v>
      </c>
      <c r="B411" s="3" t="s">
        <v>72</v>
      </c>
      <c r="C411" s="3" t="s">
        <v>1343</v>
      </c>
      <c r="D411" s="3" t="s">
        <v>1344</v>
      </c>
      <c r="E411" s="3" t="s">
        <v>223</v>
      </c>
      <c r="F411" s="3" t="s">
        <v>224</v>
      </c>
      <c r="G411" s="4" t="s">
        <v>11</v>
      </c>
      <c r="H411" s="4" t="s">
        <v>304</v>
      </c>
      <c r="I411" s="3"/>
    </row>
    <row r="412" spans="1:9" ht="15" customHeight="1" x14ac:dyDescent="0.25">
      <c r="A412" s="5">
        <v>15813574</v>
      </c>
      <c r="B412" s="3" t="s">
        <v>1345</v>
      </c>
      <c r="C412" s="3" t="s">
        <v>1346</v>
      </c>
      <c r="D412" s="3" t="s">
        <v>1347</v>
      </c>
      <c r="E412" s="3" t="s">
        <v>223</v>
      </c>
      <c r="F412" s="3" t="s">
        <v>224</v>
      </c>
      <c r="G412" s="4" t="s">
        <v>1348</v>
      </c>
      <c r="H412" s="4" t="s">
        <v>1349</v>
      </c>
      <c r="I412" s="3"/>
    </row>
    <row r="413" spans="1:9" ht="15" customHeight="1" x14ac:dyDescent="0.25">
      <c r="A413" s="5">
        <v>16075040</v>
      </c>
      <c r="B413" s="3" t="s">
        <v>194</v>
      </c>
      <c r="C413" s="3" t="s">
        <v>1350</v>
      </c>
      <c r="D413" s="3" t="s">
        <v>1351</v>
      </c>
      <c r="E413" s="3" t="s">
        <v>223</v>
      </c>
      <c r="F413" s="3" t="s">
        <v>243</v>
      </c>
      <c r="G413" s="4" t="s">
        <v>1352</v>
      </c>
      <c r="H413" s="4" t="s">
        <v>46</v>
      </c>
      <c r="I413" s="3"/>
    </row>
    <row r="414" spans="1:9" ht="15" customHeight="1" x14ac:dyDescent="0.25">
      <c r="A414" s="5">
        <v>87100513</v>
      </c>
      <c r="B414" s="3" t="s">
        <v>1353</v>
      </c>
      <c r="C414" s="3" t="s">
        <v>1354</v>
      </c>
      <c r="D414" s="3" t="s">
        <v>1355</v>
      </c>
      <c r="E414" s="3" t="s">
        <v>223</v>
      </c>
      <c r="F414" s="3" t="s">
        <v>243</v>
      </c>
      <c r="G414" s="3" t="s">
        <v>1356</v>
      </c>
      <c r="H414" s="4" t="s">
        <v>1357</v>
      </c>
      <c r="I414" s="3"/>
    </row>
    <row r="415" spans="1:9" ht="15" customHeight="1" x14ac:dyDescent="0.25">
      <c r="A415" s="5">
        <v>80203911</v>
      </c>
      <c r="B415" s="3" t="s">
        <v>91</v>
      </c>
      <c r="C415" s="3" t="s">
        <v>1358</v>
      </c>
      <c r="D415" s="3" t="s">
        <v>1359</v>
      </c>
      <c r="E415" s="3" t="s">
        <v>223</v>
      </c>
      <c r="F415" s="3" t="s">
        <v>243</v>
      </c>
      <c r="G415" s="3" t="s">
        <v>54</v>
      </c>
      <c r="H415" s="4" t="s">
        <v>46</v>
      </c>
      <c r="I415" s="3"/>
    </row>
    <row r="416" spans="1:9" ht="15" customHeight="1" x14ac:dyDescent="0.25">
      <c r="A416" s="5">
        <v>79954123</v>
      </c>
      <c r="B416" s="3" t="s">
        <v>34</v>
      </c>
      <c r="C416" s="3" t="s">
        <v>1360</v>
      </c>
      <c r="D416" s="3" t="s">
        <v>1361</v>
      </c>
      <c r="E416" s="3" t="s">
        <v>223</v>
      </c>
      <c r="F416" s="3" t="s">
        <v>228</v>
      </c>
      <c r="G416" s="4" t="s">
        <v>13</v>
      </c>
      <c r="H416" s="4" t="s">
        <v>429</v>
      </c>
      <c r="I416" s="3" t="s">
        <v>1362</v>
      </c>
    </row>
    <row r="417" spans="1:9" ht="15" customHeight="1" x14ac:dyDescent="0.25">
      <c r="A417" s="5">
        <v>98382611</v>
      </c>
      <c r="B417" s="3" t="s">
        <v>34</v>
      </c>
      <c r="C417" s="3" t="s">
        <v>1363</v>
      </c>
      <c r="D417" s="3" t="s">
        <v>1364</v>
      </c>
      <c r="E417" s="3" t="s">
        <v>223</v>
      </c>
      <c r="F417" s="3" t="s">
        <v>243</v>
      </c>
      <c r="G417" s="3" t="s">
        <v>35</v>
      </c>
      <c r="H417" s="4" t="s">
        <v>3</v>
      </c>
      <c r="I417" s="3"/>
    </row>
    <row r="418" spans="1:9" ht="15" customHeight="1" x14ac:dyDescent="0.25">
      <c r="A418" s="5">
        <v>87066544</v>
      </c>
      <c r="B418" s="3" t="s">
        <v>34</v>
      </c>
      <c r="C418" s="3" t="s">
        <v>1365</v>
      </c>
      <c r="D418" s="3" t="s">
        <v>1366</v>
      </c>
      <c r="E418" s="3" t="s">
        <v>223</v>
      </c>
      <c r="F418" s="3" t="s">
        <v>259</v>
      </c>
      <c r="G418" s="3" t="s">
        <v>260</v>
      </c>
      <c r="H418" s="4" t="s">
        <v>728</v>
      </c>
      <c r="I418" s="3"/>
    </row>
    <row r="419" spans="1:9" ht="15" customHeight="1" x14ac:dyDescent="0.25">
      <c r="A419" s="5">
        <v>98387174</v>
      </c>
      <c r="B419" s="3" t="s">
        <v>34</v>
      </c>
      <c r="C419" s="3" t="s">
        <v>1367</v>
      </c>
      <c r="D419" s="3" t="s">
        <v>1368</v>
      </c>
      <c r="E419" s="3" t="s">
        <v>223</v>
      </c>
      <c r="F419" s="3" t="s">
        <v>243</v>
      </c>
      <c r="G419" s="4" t="s">
        <v>1369</v>
      </c>
      <c r="H419" s="4" t="s">
        <v>1370</v>
      </c>
      <c r="I419" s="3"/>
    </row>
    <row r="420" spans="1:9" ht="15" customHeight="1" x14ac:dyDescent="0.25">
      <c r="A420" s="5">
        <v>12995051</v>
      </c>
      <c r="B420" s="3" t="s">
        <v>1371</v>
      </c>
      <c r="C420" s="3" t="s">
        <v>25</v>
      </c>
      <c r="D420" s="3" t="s">
        <v>1372</v>
      </c>
      <c r="E420" s="3" t="s">
        <v>223</v>
      </c>
      <c r="F420" s="3" t="s">
        <v>259</v>
      </c>
      <c r="G420" s="3" t="s">
        <v>260</v>
      </c>
      <c r="H420" s="4" t="s">
        <v>46</v>
      </c>
      <c r="I420" s="3"/>
    </row>
    <row r="421" spans="1:9" ht="15" customHeight="1" x14ac:dyDescent="0.25">
      <c r="A421" s="5">
        <v>59314315</v>
      </c>
      <c r="B421" s="3" t="s">
        <v>1373</v>
      </c>
      <c r="C421" s="3" t="s">
        <v>1374</v>
      </c>
      <c r="D421" s="3" t="s">
        <v>1375</v>
      </c>
      <c r="E421" s="3" t="s">
        <v>223</v>
      </c>
      <c r="F421" s="3" t="s">
        <v>259</v>
      </c>
      <c r="G421" s="3" t="s">
        <v>260</v>
      </c>
      <c r="H421" s="4" t="s">
        <v>1376</v>
      </c>
      <c r="I421" s="3"/>
    </row>
    <row r="422" spans="1:9" ht="15" customHeight="1" x14ac:dyDescent="0.25">
      <c r="A422" s="5">
        <v>1087006503</v>
      </c>
      <c r="B422" s="3" t="s">
        <v>1377</v>
      </c>
      <c r="C422" s="3" t="s">
        <v>1378</v>
      </c>
      <c r="D422" s="3" t="s">
        <v>1379</v>
      </c>
      <c r="E422" s="3" t="s">
        <v>223</v>
      </c>
      <c r="F422" s="3" t="s">
        <v>259</v>
      </c>
      <c r="G422" s="3" t="s">
        <v>260</v>
      </c>
      <c r="H422" s="4" t="s">
        <v>3</v>
      </c>
      <c r="I422" s="3"/>
    </row>
    <row r="423" spans="1:9" ht="15" customHeight="1" x14ac:dyDescent="0.25">
      <c r="A423" s="5">
        <v>36750229</v>
      </c>
      <c r="B423" s="3" t="s">
        <v>1380</v>
      </c>
      <c r="C423" s="3" t="s">
        <v>1381</v>
      </c>
      <c r="D423" s="3" t="s">
        <v>1382</v>
      </c>
      <c r="E423" s="3" t="s">
        <v>223</v>
      </c>
      <c r="F423" s="3" t="s">
        <v>259</v>
      </c>
      <c r="G423" s="3" t="s">
        <v>260</v>
      </c>
      <c r="H423" s="4" t="s">
        <v>320</v>
      </c>
      <c r="I423" s="3"/>
    </row>
    <row r="424" spans="1:9" ht="15" customHeight="1" x14ac:dyDescent="0.25">
      <c r="A424" s="5">
        <v>1026567781</v>
      </c>
      <c r="B424" s="3" t="s">
        <v>1383</v>
      </c>
      <c r="C424" s="3" t="s">
        <v>1384</v>
      </c>
      <c r="D424" s="3" t="s">
        <v>1385</v>
      </c>
      <c r="E424" s="3" t="s">
        <v>223</v>
      </c>
      <c r="F424" s="3" t="s">
        <v>259</v>
      </c>
      <c r="G424" s="3" t="s">
        <v>260</v>
      </c>
      <c r="H424" s="4" t="s">
        <v>1386</v>
      </c>
      <c r="I424" s="3"/>
    </row>
    <row r="425" spans="1:9" ht="15" customHeight="1" x14ac:dyDescent="0.25">
      <c r="A425" s="5">
        <v>27143251</v>
      </c>
      <c r="B425" s="3" t="s">
        <v>162</v>
      </c>
      <c r="C425" s="3" t="s">
        <v>1387</v>
      </c>
      <c r="D425" s="3" t="s">
        <v>1388</v>
      </c>
      <c r="E425" s="3" t="s">
        <v>223</v>
      </c>
      <c r="F425" s="3" t="s">
        <v>224</v>
      </c>
      <c r="G425" s="4" t="s">
        <v>23</v>
      </c>
      <c r="H425" s="4" t="s">
        <v>1389</v>
      </c>
      <c r="I425" s="3"/>
    </row>
    <row r="426" spans="1:9" ht="15" customHeight="1" x14ac:dyDescent="0.25">
      <c r="A426" s="5">
        <v>12996086</v>
      </c>
      <c r="B426" s="3" t="s">
        <v>48</v>
      </c>
      <c r="C426" s="3" t="s">
        <v>1390</v>
      </c>
      <c r="D426" s="3" t="s">
        <v>1391</v>
      </c>
      <c r="E426" s="3" t="s">
        <v>223</v>
      </c>
      <c r="F426" s="3" t="s">
        <v>224</v>
      </c>
      <c r="G426" s="4" t="s">
        <v>23</v>
      </c>
      <c r="H426" s="4" t="s">
        <v>1389</v>
      </c>
      <c r="I426" s="3" t="s">
        <v>1392</v>
      </c>
    </row>
    <row r="427" spans="1:9" ht="15" customHeight="1" x14ac:dyDescent="0.25">
      <c r="A427" s="5">
        <v>59818376</v>
      </c>
      <c r="B427" s="3" t="s">
        <v>1393</v>
      </c>
      <c r="C427" s="3" t="s">
        <v>1394</v>
      </c>
      <c r="D427" s="3" t="s">
        <v>1395</v>
      </c>
      <c r="E427" s="3" t="s">
        <v>223</v>
      </c>
      <c r="F427" s="3" t="s">
        <v>228</v>
      </c>
      <c r="G427" s="4" t="s">
        <v>1396</v>
      </c>
      <c r="H427" s="4" t="s">
        <v>429</v>
      </c>
      <c r="I427" s="3" t="s">
        <v>1362</v>
      </c>
    </row>
    <row r="428" spans="1:9" ht="15" customHeight="1" x14ac:dyDescent="0.25">
      <c r="A428" s="5">
        <v>1085310150</v>
      </c>
      <c r="B428" s="3" t="s">
        <v>1397</v>
      </c>
      <c r="C428" s="3" t="s">
        <v>1398</v>
      </c>
      <c r="D428" s="3" t="s">
        <v>1399</v>
      </c>
      <c r="E428" s="3" t="s">
        <v>223</v>
      </c>
      <c r="F428" s="3" t="s">
        <v>259</v>
      </c>
      <c r="G428" s="3" t="s">
        <v>260</v>
      </c>
      <c r="H428" s="4" t="s">
        <v>46</v>
      </c>
      <c r="I428" s="3"/>
    </row>
    <row r="429" spans="1:9" ht="15" customHeight="1" x14ac:dyDescent="0.25">
      <c r="A429" s="5">
        <v>41595516</v>
      </c>
      <c r="B429" s="3" t="s">
        <v>86</v>
      </c>
      <c r="C429" s="3" t="s">
        <v>1400</v>
      </c>
      <c r="D429" s="3" t="s">
        <v>1401</v>
      </c>
      <c r="E429" s="3" t="s">
        <v>223</v>
      </c>
      <c r="F429" s="3" t="s">
        <v>224</v>
      </c>
      <c r="G429" s="4" t="s">
        <v>6</v>
      </c>
      <c r="H429" s="4" t="s">
        <v>236</v>
      </c>
      <c r="I429" s="3" t="s">
        <v>1402</v>
      </c>
    </row>
    <row r="430" spans="1:9" ht="15" customHeight="1" x14ac:dyDescent="0.25">
      <c r="A430" s="5">
        <v>30716027</v>
      </c>
      <c r="B430" s="3" t="s">
        <v>184</v>
      </c>
      <c r="C430" s="3" t="s">
        <v>1403</v>
      </c>
      <c r="D430" s="3" t="s">
        <v>1404</v>
      </c>
      <c r="E430" s="3" t="s">
        <v>223</v>
      </c>
      <c r="F430" s="3" t="s">
        <v>224</v>
      </c>
      <c r="G430" s="4" t="s">
        <v>6</v>
      </c>
      <c r="H430" s="4" t="s">
        <v>357</v>
      </c>
      <c r="I430" s="3"/>
    </row>
    <row r="431" spans="1:9" ht="15" customHeight="1" x14ac:dyDescent="0.25">
      <c r="A431" s="3"/>
      <c r="B431" s="3" t="s">
        <v>1405</v>
      </c>
      <c r="C431" s="3" t="s">
        <v>1406</v>
      </c>
      <c r="D431" s="3" t="s">
        <v>1407</v>
      </c>
      <c r="E431" s="3" t="s">
        <v>223</v>
      </c>
      <c r="F431" s="3" t="s">
        <v>219</v>
      </c>
      <c r="G431" s="3"/>
      <c r="H431" s="4" t="s">
        <v>534</v>
      </c>
      <c r="I431" s="3"/>
    </row>
    <row r="432" spans="1:9" ht="15" customHeight="1" x14ac:dyDescent="0.25">
      <c r="A432" s="3"/>
      <c r="B432" s="3" t="s">
        <v>1408</v>
      </c>
      <c r="C432" s="3" t="s">
        <v>1409</v>
      </c>
      <c r="D432" s="3" t="s">
        <v>1410</v>
      </c>
      <c r="E432" s="3" t="s">
        <v>218</v>
      </c>
      <c r="F432" s="3" t="s">
        <v>219</v>
      </c>
      <c r="G432" s="3"/>
      <c r="H432" s="4" t="s">
        <v>10</v>
      </c>
      <c r="I432" s="3"/>
    </row>
    <row r="433" spans="1:9" ht="15" customHeight="1" x14ac:dyDescent="0.25">
      <c r="A433" s="5">
        <v>1085302495</v>
      </c>
      <c r="B433" s="3" t="s">
        <v>1411</v>
      </c>
      <c r="C433" s="3" t="s">
        <v>1412</v>
      </c>
      <c r="D433" s="3" t="s">
        <v>1413</v>
      </c>
      <c r="E433" s="3" t="s">
        <v>223</v>
      </c>
      <c r="F433" s="3" t="s">
        <v>259</v>
      </c>
      <c r="G433" s="3" t="s">
        <v>260</v>
      </c>
      <c r="H433" s="4" t="s">
        <v>323</v>
      </c>
      <c r="I433" s="3"/>
    </row>
    <row r="434" spans="1:9" ht="15" customHeight="1" x14ac:dyDescent="0.25">
      <c r="A434" s="5">
        <v>12972846</v>
      </c>
      <c r="B434" s="3" t="s">
        <v>165</v>
      </c>
      <c r="C434" s="3" t="s">
        <v>1414</v>
      </c>
      <c r="D434" s="3" t="s">
        <v>1415</v>
      </c>
      <c r="E434" s="3" t="s">
        <v>223</v>
      </c>
      <c r="F434" s="3" t="s">
        <v>243</v>
      </c>
      <c r="G434" s="3" t="s">
        <v>662</v>
      </c>
      <c r="H434" s="4" t="s">
        <v>166</v>
      </c>
      <c r="I434" s="3"/>
    </row>
    <row r="435" spans="1:9" ht="15" customHeight="1" x14ac:dyDescent="0.25">
      <c r="A435" s="5">
        <v>36954173</v>
      </c>
      <c r="B435" s="3" t="s">
        <v>1416</v>
      </c>
      <c r="C435" s="3" t="s">
        <v>1417</v>
      </c>
      <c r="D435" s="3" t="s">
        <v>1418</v>
      </c>
      <c r="E435" s="3" t="s">
        <v>223</v>
      </c>
      <c r="F435" s="3" t="s">
        <v>259</v>
      </c>
      <c r="G435" s="3" t="s">
        <v>260</v>
      </c>
      <c r="H435" s="4" t="s">
        <v>3</v>
      </c>
      <c r="I435" s="3"/>
    </row>
    <row r="436" spans="1:9" ht="15" customHeight="1" x14ac:dyDescent="0.25">
      <c r="A436" s="5">
        <v>87065770</v>
      </c>
      <c r="B436" s="3" t="s">
        <v>1419</v>
      </c>
      <c r="C436" s="3" t="s">
        <v>1420</v>
      </c>
      <c r="D436" s="3" t="s">
        <v>1421</v>
      </c>
      <c r="E436" s="3" t="s">
        <v>223</v>
      </c>
      <c r="F436" s="3" t="s">
        <v>219</v>
      </c>
      <c r="G436" s="3"/>
      <c r="H436" s="4" t="s">
        <v>42</v>
      </c>
      <c r="I436" s="3"/>
    </row>
    <row r="437" spans="1:9" ht="15" customHeight="1" x14ac:dyDescent="0.25">
      <c r="A437" s="5">
        <v>59828605</v>
      </c>
      <c r="B437" s="3" t="s">
        <v>1422</v>
      </c>
      <c r="C437" s="3" t="s">
        <v>1423</v>
      </c>
      <c r="D437" s="3" t="s">
        <v>1424</v>
      </c>
      <c r="E437" s="3" t="s">
        <v>223</v>
      </c>
      <c r="F437" s="3" t="s">
        <v>259</v>
      </c>
      <c r="G437" s="3" t="s">
        <v>260</v>
      </c>
      <c r="H437" s="4" t="s">
        <v>240</v>
      </c>
      <c r="I437" s="3"/>
    </row>
    <row r="438" spans="1:9" ht="15" customHeight="1" x14ac:dyDescent="0.25">
      <c r="A438" s="5">
        <v>1085261081</v>
      </c>
      <c r="B438" s="3" t="s">
        <v>1425</v>
      </c>
      <c r="C438" s="3" t="s">
        <v>1426</v>
      </c>
      <c r="D438" s="3" t="s">
        <v>1427</v>
      </c>
      <c r="E438" s="3" t="s">
        <v>223</v>
      </c>
      <c r="F438" s="3" t="s">
        <v>259</v>
      </c>
      <c r="G438" s="3" t="s">
        <v>260</v>
      </c>
      <c r="H438" s="4" t="s">
        <v>331</v>
      </c>
      <c r="I438" s="3"/>
    </row>
    <row r="439" spans="1:9" ht="15" customHeight="1" x14ac:dyDescent="0.25">
      <c r="A439" s="5">
        <v>59823486</v>
      </c>
      <c r="B439" s="3" t="s">
        <v>1428</v>
      </c>
      <c r="C439" s="3" t="s">
        <v>1429</v>
      </c>
      <c r="D439" s="3" t="s">
        <v>607</v>
      </c>
      <c r="E439" s="3" t="s">
        <v>223</v>
      </c>
      <c r="F439" s="3" t="s">
        <v>224</v>
      </c>
      <c r="G439" s="4" t="s">
        <v>225</v>
      </c>
      <c r="H439" s="4" t="s">
        <v>10</v>
      </c>
      <c r="I439" s="3"/>
    </row>
    <row r="440" spans="1:9" ht="15" customHeight="1" x14ac:dyDescent="0.25">
      <c r="A440" s="5">
        <v>1026567781</v>
      </c>
      <c r="B440" s="3" t="s">
        <v>1430</v>
      </c>
      <c r="C440" s="3" t="s">
        <v>1431</v>
      </c>
      <c r="D440" s="3" t="s">
        <v>1432</v>
      </c>
      <c r="E440" s="3" t="s">
        <v>223</v>
      </c>
      <c r="F440" s="3" t="s">
        <v>259</v>
      </c>
      <c r="G440" s="3" t="s">
        <v>260</v>
      </c>
      <c r="H440" s="4" t="s">
        <v>683</v>
      </c>
      <c r="I440" s="3"/>
    </row>
    <row r="441" spans="1:9" ht="15" customHeight="1" x14ac:dyDescent="0.25">
      <c r="A441" s="5">
        <v>59817485</v>
      </c>
      <c r="B441" s="3" t="s">
        <v>1433</v>
      </c>
      <c r="C441" s="3" t="s">
        <v>1434</v>
      </c>
      <c r="D441" s="3" t="s">
        <v>1435</v>
      </c>
      <c r="E441" s="3" t="s">
        <v>223</v>
      </c>
      <c r="F441" s="3" t="s">
        <v>224</v>
      </c>
      <c r="G441" s="4" t="s">
        <v>50</v>
      </c>
      <c r="H441" s="4" t="s">
        <v>281</v>
      </c>
      <c r="I441" s="3"/>
    </row>
    <row r="442" spans="1:9" ht="15" customHeight="1" x14ac:dyDescent="0.25">
      <c r="A442" s="5">
        <v>30731170</v>
      </c>
      <c r="B442" s="3" t="s">
        <v>1436</v>
      </c>
      <c r="C442" s="3" t="s">
        <v>1437</v>
      </c>
      <c r="D442" s="3" t="s">
        <v>1438</v>
      </c>
      <c r="E442" s="3" t="s">
        <v>223</v>
      </c>
      <c r="F442" s="3" t="s">
        <v>259</v>
      </c>
      <c r="G442" s="3" t="s">
        <v>260</v>
      </c>
      <c r="H442" s="4" t="s">
        <v>42</v>
      </c>
      <c r="I442" s="3"/>
    </row>
    <row r="443" spans="1:9" ht="15" customHeight="1" x14ac:dyDescent="0.25">
      <c r="A443" s="3"/>
      <c r="B443" s="3" t="s">
        <v>1439</v>
      </c>
      <c r="C443" s="3" t="s">
        <v>1440</v>
      </c>
      <c r="D443" s="3" t="s">
        <v>1441</v>
      </c>
      <c r="E443" s="3" t="s">
        <v>223</v>
      </c>
      <c r="F443" s="3" t="s">
        <v>484</v>
      </c>
      <c r="G443" s="3"/>
      <c r="H443" s="4" t="s">
        <v>320</v>
      </c>
      <c r="I443" s="3"/>
    </row>
    <row r="444" spans="1:9" ht="15" customHeight="1" x14ac:dyDescent="0.25">
      <c r="A444" s="3"/>
      <c r="B444" s="3" t="s">
        <v>1439</v>
      </c>
      <c r="C444" s="3" t="s">
        <v>1442</v>
      </c>
      <c r="D444" s="3" t="s">
        <v>1443</v>
      </c>
      <c r="E444" s="3" t="s">
        <v>223</v>
      </c>
      <c r="F444" s="3" t="s">
        <v>484</v>
      </c>
      <c r="G444" s="3"/>
      <c r="H444" s="4" t="s">
        <v>320</v>
      </c>
      <c r="I444" s="3"/>
    </row>
    <row r="445" spans="1:9" ht="15" customHeight="1" x14ac:dyDescent="0.25">
      <c r="A445" s="5">
        <v>1085281583</v>
      </c>
      <c r="B445" s="3" t="s">
        <v>1444</v>
      </c>
      <c r="C445" s="3" t="s">
        <v>1445</v>
      </c>
      <c r="D445" s="3" t="s">
        <v>1446</v>
      </c>
      <c r="E445" s="3" t="s">
        <v>223</v>
      </c>
      <c r="F445" s="3" t="s">
        <v>259</v>
      </c>
      <c r="G445" s="3" t="s">
        <v>260</v>
      </c>
      <c r="H445" s="4" t="s">
        <v>365</v>
      </c>
      <c r="I445" s="3"/>
    </row>
    <row r="446" spans="1:9" ht="15" customHeight="1" x14ac:dyDescent="0.25">
      <c r="A446" s="5">
        <v>1085255129</v>
      </c>
      <c r="B446" s="3" t="s">
        <v>1447</v>
      </c>
      <c r="C446" s="3" t="s">
        <v>1448</v>
      </c>
      <c r="D446" s="3" t="s">
        <v>1449</v>
      </c>
      <c r="E446" s="3" t="s">
        <v>223</v>
      </c>
      <c r="F446" s="3" t="s">
        <v>259</v>
      </c>
      <c r="G446" s="3" t="s">
        <v>260</v>
      </c>
      <c r="H446" s="4" t="s">
        <v>1450</v>
      </c>
      <c r="I446" s="3"/>
    </row>
    <row r="447" spans="1:9" ht="15" customHeight="1" x14ac:dyDescent="0.25">
      <c r="A447" s="5">
        <v>1085288747</v>
      </c>
      <c r="B447" s="3" t="s">
        <v>1451</v>
      </c>
      <c r="C447" s="3" t="s">
        <v>1452</v>
      </c>
      <c r="D447" s="3" t="s">
        <v>1453</v>
      </c>
      <c r="E447" s="3" t="s">
        <v>223</v>
      </c>
      <c r="F447" s="3" t="s">
        <v>259</v>
      </c>
      <c r="G447" s="3" t="s">
        <v>260</v>
      </c>
      <c r="H447" s="4" t="s">
        <v>1454</v>
      </c>
      <c r="I447" s="3"/>
    </row>
    <row r="448" spans="1:9" ht="15" customHeight="1" x14ac:dyDescent="0.25">
      <c r="A448" s="5">
        <v>1085278533</v>
      </c>
      <c r="B448" s="3" t="s">
        <v>1455</v>
      </c>
      <c r="C448" s="3" t="s">
        <v>1456</v>
      </c>
      <c r="D448" s="3" t="s">
        <v>1457</v>
      </c>
      <c r="E448" s="3" t="s">
        <v>223</v>
      </c>
      <c r="F448" s="3" t="s">
        <v>259</v>
      </c>
      <c r="G448" s="3" t="s">
        <v>260</v>
      </c>
      <c r="H448" s="4" t="s">
        <v>339</v>
      </c>
      <c r="I448" s="3"/>
    </row>
    <row r="449" spans="1:9" ht="15" customHeight="1" x14ac:dyDescent="0.25">
      <c r="A449" s="5">
        <v>37085829</v>
      </c>
      <c r="B449" s="3" t="s">
        <v>153</v>
      </c>
      <c r="C449" s="3" t="s">
        <v>1458</v>
      </c>
      <c r="D449" s="3" t="s">
        <v>1459</v>
      </c>
      <c r="E449" s="3" t="s">
        <v>223</v>
      </c>
      <c r="F449" s="3" t="s">
        <v>243</v>
      </c>
      <c r="G449" s="4" t="s">
        <v>154</v>
      </c>
      <c r="H449" s="4" t="s">
        <v>236</v>
      </c>
      <c r="I449" s="3" t="s">
        <v>237</v>
      </c>
    </row>
    <row r="450" spans="1:9" ht="15" customHeight="1" x14ac:dyDescent="0.25">
      <c r="A450" s="5">
        <v>87100191</v>
      </c>
      <c r="B450" s="3" t="s">
        <v>1460</v>
      </c>
      <c r="C450" s="3" t="s">
        <v>36</v>
      </c>
      <c r="D450" s="3" t="s">
        <v>1461</v>
      </c>
      <c r="E450" s="3" t="s">
        <v>223</v>
      </c>
      <c r="F450" s="3" t="s">
        <v>228</v>
      </c>
      <c r="G450" s="4" t="s">
        <v>6</v>
      </c>
      <c r="H450" s="4" t="s">
        <v>42</v>
      </c>
      <c r="I450" s="3"/>
    </row>
    <row r="451" spans="1:9" ht="15" customHeight="1" x14ac:dyDescent="0.25">
      <c r="A451" s="5">
        <v>87100191</v>
      </c>
      <c r="B451" s="3" t="s">
        <v>137</v>
      </c>
      <c r="C451" s="3" t="s">
        <v>1462</v>
      </c>
      <c r="D451" s="3" t="s">
        <v>1463</v>
      </c>
      <c r="E451" s="3" t="s">
        <v>223</v>
      </c>
      <c r="F451" s="3" t="s">
        <v>228</v>
      </c>
      <c r="G451" s="4" t="s">
        <v>6</v>
      </c>
      <c r="H451" s="4" t="s">
        <v>42</v>
      </c>
      <c r="I451" s="3"/>
    </row>
    <row r="452" spans="1:9" ht="15" customHeight="1" x14ac:dyDescent="0.25">
      <c r="A452" s="5">
        <v>1085294579</v>
      </c>
      <c r="B452" s="3" t="s">
        <v>1464</v>
      </c>
      <c r="C452" s="3" t="s">
        <v>1465</v>
      </c>
      <c r="D452" s="3" t="s">
        <v>1466</v>
      </c>
      <c r="E452" s="3" t="s">
        <v>223</v>
      </c>
      <c r="F452" s="3" t="s">
        <v>1467</v>
      </c>
      <c r="G452" s="3" t="s">
        <v>260</v>
      </c>
      <c r="H452" s="4" t="s">
        <v>1235</v>
      </c>
      <c r="I452" s="3"/>
    </row>
    <row r="453" spans="1:9" ht="15" customHeight="1" x14ac:dyDescent="0.25">
      <c r="A453" s="5">
        <v>87531589</v>
      </c>
      <c r="B453" s="3" t="s">
        <v>1468</v>
      </c>
      <c r="C453" s="3" t="s">
        <v>1469</v>
      </c>
      <c r="D453" s="3" t="s">
        <v>1470</v>
      </c>
      <c r="E453" s="3" t="s">
        <v>223</v>
      </c>
      <c r="F453" s="3" t="s">
        <v>224</v>
      </c>
      <c r="G453" s="4" t="s">
        <v>1471</v>
      </c>
      <c r="H453" s="4" t="s">
        <v>56</v>
      </c>
      <c r="I453" s="3"/>
    </row>
    <row r="454" spans="1:9" ht="15" customHeight="1" x14ac:dyDescent="0.25">
      <c r="A454" s="5">
        <v>30745205</v>
      </c>
      <c r="B454" s="3" t="s">
        <v>1472</v>
      </c>
      <c r="C454" s="3" t="s">
        <v>31</v>
      </c>
      <c r="D454" s="3" t="s">
        <v>1473</v>
      </c>
      <c r="E454" s="3" t="s">
        <v>223</v>
      </c>
      <c r="F454" s="3" t="s">
        <v>259</v>
      </c>
      <c r="G454" s="3" t="s">
        <v>260</v>
      </c>
      <c r="H454" s="4" t="s">
        <v>3</v>
      </c>
      <c r="I454" s="3"/>
    </row>
    <row r="455" spans="1:9" ht="15" customHeight="1" x14ac:dyDescent="0.25">
      <c r="A455" s="5">
        <v>98358548</v>
      </c>
      <c r="B455" s="3" t="s">
        <v>149</v>
      </c>
      <c r="C455" s="3" t="s">
        <v>1474</v>
      </c>
      <c r="D455" s="3" t="s">
        <v>1475</v>
      </c>
      <c r="E455" s="3" t="s">
        <v>223</v>
      </c>
      <c r="F455" s="3" t="s">
        <v>243</v>
      </c>
      <c r="G455" s="4" t="s">
        <v>1369</v>
      </c>
      <c r="H455" s="4" t="s">
        <v>3</v>
      </c>
      <c r="I455" s="3"/>
    </row>
    <row r="456" spans="1:9" ht="15" customHeight="1" x14ac:dyDescent="0.25">
      <c r="A456" s="5">
        <v>30722642</v>
      </c>
      <c r="B456" s="3" t="s">
        <v>1476</v>
      </c>
      <c r="C456" s="3" t="s">
        <v>10</v>
      </c>
      <c r="D456" s="3" t="s">
        <v>1477</v>
      </c>
      <c r="E456" s="3" t="s">
        <v>223</v>
      </c>
      <c r="F456" s="3" t="s">
        <v>1478</v>
      </c>
      <c r="G456" s="4" t="s">
        <v>1479</v>
      </c>
      <c r="H456" s="4" t="s">
        <v>1480</v>
      </c>
      <c r="I456" s="3"/>
    </row>
    <row r="457" spans="1:9" ht="15" customHeight="1" x14ac:dyDescent="0.25">
      <c r="A457" s="3"/>
      <c r="B457" s="3" t="s">
        <v>1476</v>
      </c>
      <c r="C457" s="3" t="s">
        <v>573</v>
      </c>
      <c r="D457" s="3" t="s">
        <v>1481</v>
      </c>
      <c r="E457" s="3" t="s">
        <v>223</v>
      </c>
      <c r="F457" s="3" t="s">
        <v>219</v>
      </c>
      <c r="G457" s="3"/>
      <c r="H457" s="4" t="s">
        <v>3</v>
      </c>
      <c r="I457" s="3"/>
    </row>
    <row r="458" spans="1:9" ht="15" customHeight="1" x14ac:dyDescent="0.25">
      <c r="A458" s="5">
        <v>30719832</v>
      </c>
      <c r="B458" s="3" t="s">
        <v>27</v>
      </c>
      <c r="C458" s="3" t="s">
        <v>1482</v>
      </c>
      <c r="D458" s="3" t="s">
        <v>1483</v>
      </c>
      <c r="E458" s="3" t="s">
        <v>223</v>
      </c>
      <c r="F458" s="3" t="s">
        <v>243</v>
      </c>
      <c r="G458" s="4" t="s">
        <v>6</v>
      </c>
      <c r="H458" s="4" t="s">
        <v>17</v>
      </c>
      <c r="I458" s="3"/>
    </row>
    <row r="459" spans="1:9" ht="15" customHeight="1" x14ac:dyDescent="0.25">
      <c r="A459" s="5">
        <v>30737074</v>
      </c>
      <c r="B459" s="3" t="s">
        <v>203</v>
      </c>
      <c r="C459" s="3" t="s">
        <v>1484</v>
      </c>
      <c r="D459" s="3" t="s">
        <v>1485</v>
      </c>
      <c r="E459" s="3" t="s">
        <v>223</v>
      </c>
      <c r="F459" s="3" t="s">
        <v>232</v>
      </c>
      <c r="G459" s="4" t="s">
        <v>11</v>
      </c>
      <c r="H459" s="4" t="s">
        <v>432</v>
      </c>
      <c r="I459" s="3"/>
    </row>
    <row r="460" spans="1:9" ht="15" customHeight="1" x14ac:dyDescent="0.25">
      <c r="A460" s="5">
        <v>37004357</v>
      </c>
      <c r="B460" s="3" t="s">
        <v>1486</v>
      </c>
      <c r="C460" s="3" t="s">
        <v>1487</v>
      </c>
      <c r="D460" s="3" t="s">
        <v>1488</v>
      </c>
      <c r="E460" s="3" t="s">
        <v>223</v>
      </c>
      <c r="F460" s="3" t="s">
        <v>224</v>
      </c>
      <c r="G460" s="4" t="s">
        <v>225</v>
      </c>
      <c r="H460" s="4" t="s">
        <v>10</v>
      </c>
      <c r="I460" s="3"/>
    </row>
    <row r="461" spans="1:9" ht="15" customHeight="1" x14ac:dyDescent="0.25">
      <c r="A461" s="5">
        <v>1085272932</v>
      </c>
      <c r="B461" s="3" t="s">
        <v>1489</v>
      </c>
      <c r="C461" s="3" t="s">
        <v>1490</v>
      </c>
      <c r="D461" s="3" t="s">
        <v>1491</v>
      </c>
      <c r="E461" s="3" t="s">
        <v>223</v>
      </c>
      <c r="F461" s="3" t="s">
        <v>259</v>
      </c>
      <c r="G461" s="3" t="s">
        <v>260</v>
      </c>
      <c r="H461" s="4" t="s">
        <v>320</v>
      </c>
      <c r="I461" s="3"/>
    </row>
    <row r="462" spans="1:9" ht="15" customHeight="1" x14ac:dyDescent="0.25">
      <c r="A462" s="5">
        <v>30744521</v>
      </c>
      <c r="B462" s="3" t="s">
        <v>1492</v>
      </c>
      <c r="C462" s="3" t="s">
        <v>1493</v>
      </c>
      <c r="D462" s="3" t="s">
        <v>1494</v>
      </c>
      <c r="E462" s="3" t="s">
        <v>223</v>
      </c>
      <c r="F462" s="3" t="s">
        <v>224</v>
      </c>
      <c r="G462" s="4" t="s">
        <v>6</v>
      </c>
      <c r="H462" s="4" t="s">
        <v>87</v>
      </c>
      <c r="I462" s="3"/>
    </row>
    <row r="463" spans="1:9" ht="15" customHeight="1" x14ac:dyDescent="0.25">
      <c r="A463" s="3"/>
      <c r="B463" s="3" t="s">
        <v>1495</v>
      </c>
      <c r="C463" s="3" t="s">
        <v>444</v>
      </c>
      <c r="D463" s="3" t="s">
        <v>1496</v>
      </c>
      <c r="E463" s="3" t="s">
        <v>223</v>
      </c>
      <c r="F463" s="3" t="s">
        <v>219</v>
      </c>
      <c r="G463" s="3"/>
      <c r="H463" s="4" t="s">
        <v>24</v>
      </c>
      <c r="I463" s="3"/>
    </row>
    <row r="464" spans="1:9" ht="15" customHeight="1" x14ac:dyDescent="0.25">
      <c r="A464" s="3"/>
      <c r="B464" s="3" t="s">
        <v>1497</v>
      </c>
      <c r="C464" s="3" t="s">
        <v>1498</v>
      </c>
      <c r="D464" s="3" t="s">
        <v>1499</v>
      </c>
      <c r="E464" s="3" t="s">
        <v>223</v>
      </c>
      <c r="F464" s="3" t="s">
        <v>219</v>
      </c>
      <c r="G464" s="3"/>
      <c r="H464" s="4" t="s">
        <v>1500</v>
      </c>
      <c r="I464" s="3"/>
    </row>
    <row r="465" spans="1:9" ht="15" customHeight="1" x14ac:dyDescent="0.25">
      <c r="A465" s="3"/>
      <c r="B465" s="3" t="s">
        <v>1501</v>
      </c>
      <c r="C465" s="3" t="s">
        <v>1502</v>
      </c>
      <c r="D465" s="3" t="s">
        <v>1503</v>
      </c>
      <c r="E465" s="3" t="s">
        <v>223</v>
      </c>
      <c r="F465" s="3" t="s">
        <v>219</v>
      </c>
      <c r="G465" s="3"/>
      <c r="H465" s="4" t="s">
        <v>534</v>
      </c>
      <c r="I465" s="3"/>
    </row>
    <row r="466" spans="1:9" ht="15" customHeight="1" x14ac:dyDescent="0.25">
      <c r="A466" s="5">
        <v>30736431</v>
      </c>
      <c r="B466" s="3" t="s">
        <v>1504</v>
      </c>
      <c r="C466" s="3" t="s">
        <v>1505</v>
      </c>
      <c r="D466" s="3" t="s">
        <v>1506</v>
      </c>
      <c r="E466" s="3" t="s">
        <v>223</v>
      </c>
      <c r="F466" s="3" t="s">
        <v>224</v>
      </c>
      <c r="G466" s="4" t="s">
        <v>225</v>
      </c>
      <c r="H466" s="4" t="s">
        <v>10</v>
      </c>
      <c r="I466" s="3"/>
    </row>
    <row r="467" spans="1:9" ht="15" customHeight="1" x14ac:dyDescent="0.25">
      <c r="A467" s="5">
        <v>27450959</v>
      </c>
      <c r="B467" s="3" t="s">
        <v>39</v>
      </c>
      <c r="C467" s="3" t="s">
        <v>1507</v>
      </c>
      <c r="D467" s="3" t="s">
        <v>1508</v>
      </c>
      <c r="E467" s="3" t="s">
        <v>223</v>
      </c>
      <c r="F467" s="3" t="s">
        <v>232</v>
      </c>
      <c r="G467" s="4" t="s">
        <v>6</v>
      </c>
      <c r="H467" s="4" t="s">
        <v>304</v>
      </c>
      <c r="I467" s="3"/>
    </row>
    <row r="468" spans="1:9" ht="15" customHeight="1" x14ac:dyDescent="0.25">
      <c r="A468" s="5">
        <v>98345785</v>
      </c>
      <c r="B468" s="3" t="s">
        <v>1509</v>
      </c>
      <c r="C468" s="3" t="s">
        <v>4</v>
      </c>
      <c r="D468" s="3" t="s">
        <v>1510</v>
      </c>
      <c r="E468" s="3" t="s">
        <v>223</v>
      </c>
      <c r="F468" s="3" t="s">
        <v>224</v>
      </c>
      <c r="G468" s="4" t="s">
        <v>1511</v>
      </c>
      <c r="H468" s="4" t="s">
        <v>10</v>
      </c>
      <c r="I468" s="3"/>
    </row>
    <row r="469" spans="1:9" ht="15" customHeight="1" x14ac:dyDescent="0.25">
      <c r="A469" s="5">
        <v>12962504</v>
      </c>
      <c r="B469" s="3" t="s">
        <v>1512</v>
      </c>
      <c r="C469" s="3" t="s">
        <v>1513</v>
      </c>
      <c r="D469" s="3" t="s">
        <v>1514</v>
      </c>
      <c r="E469" s="3" t="s">
        <v>223</v>
      </c>
      <c r="F469" s="3" t="s">
        <v>224</v>
      </c>
      <c r="G469" s="4" t="s">
        <v>6</v>
      </c>
      <c r="H469" s="4" t="s">
        <v>10</v>
      </c>
      <c r="I469" s="3"/>
    </row>
    <row r="470" spans="1:9" ht="15" customHeight="1" x14ac:dyDescent="0.25">
      <c r="A470" s="5">
        <v>193502223</v>
      </c>
      <c r="B470" s="3" t="s">
        <v>1515</v>
      </c>
      <c r="C470" s="3" t="s">
        <v>1516</v>
      </c>
      <c r="D470" s="3" t="s">
        <v>1517</v>
      </c>
      <c r="E470" s="3" t="s">
        <v>223</v>
      </c>
      <c r="F470" s="3" t="s">
        <v>259</v>
      </c>
      <c r="G470" s="3" t="s">
        <v>260</v>
      </c>
      <c r="H470" s="4" t="s">
        <v>531</v>
      </c>
      <c r="I470" s="3"/>
    </row>
    <row r="471" spans="1:9" ht="15" customHeight="1" x14ac:dyDescent="0.25">
      <c r="A471" s="5">
        <v>1018438316</v>
      </c>
      <c r="B471" s="3" t="s">
        <v>65</v>
      </c>
      <c r="C471" s="3" t="s">
        <v>1518</v>
      </c>
      <c r="D471" s="3" t="s">
        <v>1519</v>
      </c>
      <c r="E471" s="3" t="s">
        <v>223</v>
      </c>
      <c r="F471" s="3" t="s">
        <v>259</v>
      </c>
      <c r="G471" s="3" t="s">
        <v>260</v>
      </c>
      <c r="H471" s="4" t="s">
        <v>429</v>
      </c>
      <c r="I471" s="3"/>
    </row>
    <row r="472" spans="1:9" ht="15" customHeight="1" x14ac:dyDescent="0.25">
      <c r="A472" s="5">
        <v>1085267566</v>
      </c>
      <c r="B472" s="3" t="s">
        <v>1520</v>
      </c>
      <c r="C472" s="3" t="s">
        <v>18</v>
      </c>
      <c r="D472" s="3" t="s">
        <v>1521</v>
      </c>
      <c r="E472" s="3" t="s">
        <v>223</v>
      </c>
      <c r="F472" s="3" t="s">
        <v>259</v>
      </c>
      <c r="G472" s="3" t="s">
        <v>260</v>
      </c>
      <c r="H472" s="4" t="s">
        <v>534</v>
      </c>
      <c r="I472" s="3"/>
    </row>
    <row r="473" spans="1:9" ht="15" customHeight="1" x14ac:dyDescent="0.25">
      <c r="A473" s="5">
        <v>1085282426</v>
      </c>
      <c r="B473" s="3" t="s">
        <v>1522</v>
      </c>
      <c r="C473" s="3" t="s">
        <v>1523</v>
      </c>
      <c r="D473" s="3" t="s">
        <v>1524</v>
      </c>
      <c r="E473" s="3" t="s">
        <v>223</v>
      </c>
      <c r="F473" s="3" t="s">
        <v>259</v>
      </c>
      <c r="G473" s="3" t="s">
        <v>260</v>
      </c>
      <c r="H473" s="4" t="s">
        <v>339</v>
      </c>
      <c r="I473" s="3"/>
    </row>
    <row r="474" spans="1:9" ht="15" customHeight="1" x14ac:dyDescent="0.25">
      <c r="A474" s="5">
        <v>98325992</v>
      </c>
      <c r="B474" s="3" t="s">
        <v>1525</v>
      </c>
      <c r="C474" s="3" t="s">
        <v>1526</v>
      </c>
      <c r="D474" s="3" t="s">
        <v>1527</v>
      </c>
      <c r="E474" s="3" t="s">
        <v>223</v>
      </c>
      <c r="F474" s="3" t="s">
        <v>259</v>
      </c>
      <c r="G474" s="3" t="s">
        <v>260</v>
      </c>
      <c r="H474" s="4" t="s">
        <v>1528</v>
      </c>
      <c r="I474" s="3"/>
    </row>
    <row r="475" spans="1:9" ht="15" customHeight="1" x14ac:dyDescent="0.25">
      <c r="A475" s="5">
        <v>1085282217</v>
      </c>
      <c r="B475" s="3" t="s">
        <v>111</v>
      </c>
      <c r="C475" s="3" t="s">
        <v>1529</v>
      </c>
      <c r="D475" s="3" t="s">
        <v>1530</v>
      </c>
      <c r="E475" s="3" t="s">
        <v>223</v>
      </c>
      <c r="F475" s="3" t="s">
        <v>243</v>
      </c>
      <c r="G475" s="3" t="s">
        <v>452</v>
      </c>
      <c r="H475" s="4" t="s">
        <v>320</v>
      </c>
      <c r="I475" s="3"/>
    </row>
    <row r="476" spans="1:9" ht="15" customHeight="1" x14ac:dyDescent="0.25">
      <c r="A476" s="3"/>
      <c r="B476" s="3" t="s">
        <v>1531</v>
      </c>
      <c r="C476" s="3" t="s">
        <v>444</v>
      </c>
      <c r="D476" s="3" t="s">
        <v>1532</v>
      </c>
      <c r="E476" s="3" t="s">
        <v>218</v>
      </c>
      <c r="F476" s="3" t="s">
        <v>219</v>
      </c>
      <c r="G476" s="3"/>
      <c r="H476" s="4" t="s">
        <v>56</v>
      </c>
      <c r="I476" s="3"/>
    </row>
    <row r="477" spans="1:9" ht="15" customHeight="1" x14ac:dyDescent="0.25">
      <c r="A477" s="3"/>
      <c r="B477" s="3" t="s">
        <v>790</v>
      </c>
      <c r="C477" s="3" t="s">
        <v>573</v>
      </c>
      <c r="D477" s="3" t="s">
        <v>1533</v>
      </c>
      <c r="E477" s="3" t="s">
        <v>223</v>
      </c>
      <c r="F477" s="3" t="s">
        <v>219</v>
      </c>
      <c r="G477" s="3"/>
      <c r="H477" s="4" t="s">
        <v>24</v>
      </c>
      <c r="I477" s="3"/>
    </row>
    <row r="478" spans="1:9" ht="15" customHeight="1" x14ac:dyDescent="0.25">
      <c r="A478" s="5">
        <v>48601120</v>
      </c>
      <c r="B478" s="3" t="s">
        <v>1534</v>
      </c>
      <c r="C478" s="3" t="s">
        <v>1535</v>
      </c>
      <c r="D478" s="3" t="s">
        <v>1536</v>
      </c>
      <c r="E478" s="3" t="s">
        <v>223</v>
      </c>
      <c r="F478" s="3" t="s">
        <v>224</v>
      </c>
      <c r="G478" s="4" t="s">
        <v>225</v>
      </c>
      <c r="H478" s="4" t="s">
        <v>320</v>
      </c>
      <c r="I478" s="3"/>
    </row>
    <row r="479" spans="1:9" ht="15" customHeight="1" x14ac:dyDescent="0.25">
      <c r="A479" s="5">
        <v>59835714</v>
      </c>
      <c r="B479" s="3" t="s">
        <v>1534</v>
      </c>
      <c r="C479" s="3" t="s">
        <v>1537</v>
      </c>
      <c r="D479" s="3" t="s">
        <v>1538</v>
      </c>
      <c r="E479" s="3" t="s">
        <v>223</v>
      </c>
      <c r="F479" s="3" t="s">
        <v>259</v>
      </c>
      <c r="G479" s="3" t="s">
        <v>260</v>
      </c>
      <c r="H479" s="4" t="s">
        <v>365</v>
      </c>
      <c r="I479" s="3"/>
    </row>
    <row r="480" spans="1:9" ht="15" customHeight="1" x14ac:dyDescent="0.25">
      <c r="A480" s="5">
        <v>1085662610</v>
      </c>
      <c r="B480" s="3" t="s">
        <v>1539</v>
      </c>
      <c r="C480" s="3" t="s">
        <v>1540</v>
      </c>
      <c r="D480" s="3" t="s">
        <v>1541</v>
      </c>
      <c r="E480" s="3" t="s">
        <v>223</v>
      </c>
      <c r="F480" s="3" t="s">
        <v>259</v>
      </c>
      <c r="G480" s="3" t="s">
        <v>260</v>
      </c>
      <c r="H480" s="4" t="s">
        <v>429</v>
      </c>
      <c r="I480" s="3"/>
    </row>
    <row r="481" spans="1:9" ht="15" customHeight="1" x14ac:dyDescent="0.25">
      <c r="A481" s="5">
        <v>66983176</v>
      </c>
      <c r="B481" s="3" t="s">
        <v>1542</v>
      </c>
      <c r="C481" s="3" t="s">
        <v>1543</v>
      </c>
      <c r="D481" s="3" t="s">
        <v>1544</v>
      </c>
      <c r="E481" s="3" t="s">
        <v>223</v>
      </c>
      <c r="F481" s="3" t="s">
        <v>228</v>
      </c>
      <c r="G481" s="4" t="s">
        <v>1545</v>
      </c>
      <c r="H481" s="4" t="s">
        <v>10</v>
      </c>
      <c r="I481" s="3"/>
    </row>
    <row r="482" spans="1:9" ht="15" customHeight="1" x14ac:dyDescent="0.25">
      <c r="A482" s="5">
        <v>27090281</v>
      </c>
      <c r="B482" s="3" t="s">
        <v>1546</v>
      </c>
      <c r="C482" s="3" t="s">
        <v>1547</v>
      </c>
      <c r="D482" s="3" t="s">
        <v>1548</v>
      </c>
      <c r="E482" s="3" t="s">
        <v>223</v>
      </c>
      <c r="F482" s="3" t="s">
        <v>259</v>
      </c>
      <c r="G482" s="3" t="s">
        <v>260</v>
      </c>
      <c r="H482" s="4" t="s">
        <v>42</v>
      </c>
      <c r="I482" s="3"/>
    </row>
    <row r="483" spans="1:9" ht="15" customHeight="1" x14ac:dyDescent="0.25">
      <c r="A483" s="3"/>
      <c r="B483" s="3" t="s">
        <v>1549</v>
      </c>
      <c r="C483" s="3" t="s">
        <v>1550</v>
      </c>
      <c r="D483" s="3" t="s">
        <v>1551</v>
      </c>
      <c r="E483" s="3" t="s">
        <v>223</v>
      </c>
      <c r="F483" s="3" t="s">
        <v>219</v>
      </c>
      <c r="G483" s="3"/>
      <c r="H483" s="4" t="s">
        <v>534</v>
      </c>
      <c r="I483" s="3"/>
    </row>
    <row r="484" spans="1:9" ht="15" customHeight="1" x14ac:dyDescent="0.25">
      <c r="A484" s="3"/>
      <c r="B484" s="3" t="s">
        <v>1552</v>
      </c>
      <c r="C484" s="3" t="s">
        <v>1553</v>
      </c>
      <c r="D484" s="3" t="s">
        <v>1554</v>
      </c>
      <c r="E484" s="3" t="s">
        <v>223</v>
      </c>
      <c r="F484" s="3" t="s">
        <v>219</v>
      </c>
      <c r="G484" s="3"/>
      <c r="H484" s="4" t="s">
        <v>534</v>
      </c>
      <c r="I484" s="3"/>
    </row>
    <row r="485" spans="1:9" ht="15" customHeight="1" x14ac:dyDescent="0.25">
      <c r="A485" s="3"/>
      <c r="B485" s="3" t="s">
        <v>419</v>
      </c>
      <c r="C485" s="3" t="s">
        <v>253</v>
      </c>
      <c r="D485" s="3" t="s">
        <v>1555</v>
      </c>
      <c r="E485" s="3" t="s">
        <v>223</v>
      </c>
      <c r="F485" s="3" t="s">
        <v>219</v>
      </c>
      <c r="G485" s="3"/>
      <c r="H485" s="4" t="s">
        <v>432</v>
      </c>
      <c r="I485" s="3"/>
    </row>
    <row r="486" spans="1:9" ht="15" customHeight="1" x14ac:dyDescent="0.25">
      <c r="A486" s="3"/>
      <c r="B486" s="3" t="s">
        <v>1556</v>
      </c>
      <c r="C486" s="3" t="s">
        <v>1557</v>
      </c>
      <c r="D486" s="3" t="s">
        <v>1558</v>
      </c>
      <c r="E486" s="3" t="s">
        <v>223</v>
      </c>
      <c r="F486" s="3" t="s">
        <v>219</v>
      </c>
      <c r="G486" s="3"/>
      <c r="H486" s="4" t="s">
        <v>432</v>
      </c>
      <c r="I486" s="3"/>
    </row>
    <row r="487" spans="1:9" ht="15" customHeight="1" x14ac:dyDescent="0.25">
      <c r="A487" s="5">
        <v>1085266845</v>
      </c>
      <c r="B487" s="3" t="s">
        <v>1559</v>
      </c>
      <c r="C487" s="3" t="s">
        <v>38</v>
      </c>
      <c r="D487" s="3" t="s">
        <v>1560</v>
      </c>
      <c r="E487" s="3" t="s">
        <v>223</v>
      </c>
      <c r="F487" s="3" t="s">
        <v>259</v>
      </c>
      <c r="G487" s="3" t="s">
        <v>260</v>
      </c>
      <c r="H487" s="4" t="s">
        <v>1561</v>
      </c>
      <c r="I487" s="3"/>
    </row>
    <row r="488" spans="1:9" ht="15" customHeight="1" x14ac:dyDescent="0.25">
      <c r="A488" s="3"/>
      <c r="B488" s="3" t="s">
        <v>1562</v>
      </c>
      <c r="C488" s="3" t="s">
        <v>801</v>
      </c>
      <c r="D488" s="3" t="s">
        <v>1563</v>
      </c>
      <c r="E488" s="3" t="s">
        <v>223</v>
      </c>
      <c r="F488" s="3" t="s">
        <v>219</v>
      </c>
      <c r="G488" s="3"/>
      <c r="H488" s="4" t="s">
        <v>42</v>
      </c>
      <c r="I488" s="3"/>
    </row>
    <row r="489" spans="1:9" ht="15" customHeight="1" x14ac:dyDescent="0.25">
      <c r="A489" s="3"/>
      <c r="B489" s="3" t="s">
        <v>1564</v>
      </c>
      <c r="C489" s="3" t="s">
        <v>1565</v>
      </c>
      <c r="D489" s="3" t="s">
        <v>1566</v>
      </c>
      <c r="E489" s="3" t="s">
        <v>223</v>
      </c>
      <c r="F489" s="3" t="s">
        <v>219</v>
      </c>
      <c r="G489" s="3"/>
      <c r="H489" s="4" t="s">
        <v>42</v>
      </c>
      <c r="I489" s="3"/>
    </row>
    <row r="490" spans="1:9" ht="15" customHeight="1" x14ac:dyDescent="0.25">
      <c r="A490" s="3"/>
      <c r="B490" s="3" t="s">
        <v>1567</v>
      </c>
      <c r="C490" s="3" t="s">
        <v>466</v>
      </c>
      <c r="D490" s="3" t="s">
        <v>1568</v>
      </c>
      <c r="E490" s="3" t="s">
        <v>223</v>
      </c>
      <c r="F490" s="3" t="s">
        <v>219</v>
      </c>
      <c r="G490" s="3"/>
      <c r="H490" s="3" t="s">
        <v>10</v>
      </c>
      <c r="I490" s="3"/>
    </row>
    <row r="491" spans="1:9" ht="15" customHeight="1" x14ac:dyDescent="0.25">
      <c r="A491" s="3"/>
      <c r="B491" s="3" t="s">
        <v>1569</v>
      </c>
      <c r="C491" s="3" t="s">
        <v>573</v>
      </c>
      <c r="D491" s="3" t="s">
        <v>1570</v>
      </c>
      <c r="E491" s="3" t="s">
        <v>223</v>
      </c>
      <c r="F491" s="3" t="s">
        <v>219</v>
      </c>
      <c r="G491" s="3"/>
      <c r="H491" s="4" t="s">
        <v>42</v>
      </c>
      <c r="I491" s="3"/>
    </row>
    <row r="492" spans="1:9" ht="15" customHeight="1" x14ac:dyDescent="0.25">
      <c r="A492" s="5">
        <v>12984169</v>
      </c>
      <c r="B492" s="3" t="s">
        <v>1572</v>
      </c>
      <c r="C492" s="3" t="s">
        <v>1573</v>
      </c>
      <c r="D492" s="3" t="s">
        <v>1574</v>
      </c>
      <c r="E492" s="3" t="s">
        <v>223</v>
      </c>
      <c r="F492" s="3" t="s">
        <v>259</v>
      </c>
      <c r="G492" s="3" t="s">
        <v>260</v>
      </c>
      <c r="H492" s="4" t="s">
        <v>263</v>
      </c>
      <c r="I492" s="3"/>
    </row>
    <row r="493" spans="1:9" ht="15" customHeight="1" x14ac:dyDescent="0.25">
      <c r="A493" s="3"/>
      <c r="B493" s="3" t="s">
        <v>1575</v>
      </c>
      <c r="C493" s="3" t="s">
        <v>1576</v>
      </c>
      <c r="D493" s="3" t="s">
        <v>1577</v>
      </c>
      <c r="E493" s="3" t="s">
        <v>223</v>
      </c>
      <c r="F493" s="3" t="s">
        <v>219</v>
      </c>
      <c r="G493" s="3"/>
      <c r="H493" s="4" t="s">
        <v>312</v>
      </c>
      <c r="I493" s="3"/>
    </row>
    <row r="494" spans="1:9" ht="15" customHeight="1" x14ac:dyDescent="0.25">
      <c r="A494" s="3"/>
      <c r="B494" s="3" t="s">
        <v>1575</v>
      </c>
      <c r="C494" s="3" t="s">
        <v>1501</v>
      </c>
      <c r="D494" s="3" t="s">
        <v>1578</v>
      </c>
      <c r="E494" s="3" t="s">
        <v>223</v>
      </c>
      <c r="F494" s="3" t="s">
        <v>219</v>
      </c>
      <c r="G494" s="3"/>
      <c r="H494" s="4" t="s">
        <v>312</v>
      </c>
      <c r="I494" s="3"/>
    </row>
    <row r="495" spans="1:9" ht="15" customHeight="1" x14ac:dyDescent="0.25">
      <c r="A495" s="3"/>
      <c r="B495" s="3" t="s">
        <v>1579</v>
      </c>
      <c r="C495" s="3" t="s">
        <v>466</v>
      </c>
      <c r="D495" s="3" t="s">
        <v>1580</v>
      </c>
      <c r="E495" s="3" t="s">
        <v>223</v>
      </c>
      <c r="F495" s="3" t="s">
        <v>219</v>
      </c>
      <c r="G495" s="3"/>
      <c r="H495" s="3" t="s">
        <v>10</v>
      </c>
      <c r="I495" s="3"/>
    </row>
    <row r="496" spans="1:9" ht="15" customHeight="1" x14ac:dyDescent="0.25">
      <c r="A496" s="3"/>
      <c r="B496" s="3" t="s">
        <v>9</v>
      </c>
      <c r="C496" s="3" t="s">
        <v>608</v>
      </c>
      <c r="D496" s="3" t="s">
        <v>1581</v>
      </c>
      <c r="E496" s="3" t="s">
        <v>223</v>
      </c>
      <c r="F496" s="3" t="s">
        <v>219</v>
      </c>
      <c r="G496" s="3"/>
      <c r="H496" s="4" t="s">
        <v>377</v>
      </c>
      <c r="I496" s="3"/>
    </row>
    <row r="497" spans="1:9" ht="15" customHeight="1" x14ac:dyDescent="0.25">
      <c r="A497" s="3"/>
      <c r="B497" s="3" t="s">
        <v>1582</v>
      </c>
      <c r="C497" s="3" t="s">
        <v>1583</v>
      </c>
      <c r="D497" s="3" t="s">
        <v>1584</v>
      </c>
      <c r="E497" s="3" t="s">
        <v>223</v>
      </c>
      <c r="F497" s="3" t="s">
        <v>219</v>
      </c>
      <c r="G497" s="3"/>
      <c r="H497" s="4" t="s">
        <v>534</v>
      </c>
      <c r="I497" s="3"/>
    </row>
    <row r="498" spans="1:9" ht="15" customHeight="1" x14ac:dyDescent="0.25">
      <c r="A498" s="3"/>
      <c r="B498" s="3" t="s">
        <v>1585</v>
      </c>
      <c r="C498" s="3" t="s">
        <v>63</v>
      </c>
      <c r="D498" s="3" t="s">
        <v>1586</v>
      </c>
      <c r="E498" s="3" t="s">
        <v>223</v>
      </c>
      <c r="F498" s="3" t="s">
        <v>219</v>
      </c>
      <c r="G498" s="3"/>
      <c r="H498" s="4" t="s">
        <v>1587</v>
      </c>
      <c r="I498" s="3"/>
    </row>
    <row r="499" spans="1:9" ht="15" customHeight="1" x14ac:dyDescent="0.25">
      <c r="A499" s="3"/>
      <c r="B499" s="3" t="s">
        <v>1588</v>
      </c>
      <c r="C499" s="3" t="s">
        <v>1589</v>
      </c>
      <c r="D499" s="3" t="s">
        <v>1590</v>
      </c>
      <c r="E499" s="3" t="s">
        <v>223</v>
      </c>
      <c r="F499" s="3" t="s">
        <v>219</v>
      </c>
      <c r="G499" s="3"/>
      <c r="H499" s="4" t="s">
        <v>534</v>
      </c>
      <c r="I499" s="3"/>
    </row>
    <row r="500" spans="1:9" ht="15" customHeight="1" x14ac:dyDescent="0.25">
      <c r="A500" s="3"/>
      <c r="B500" s="3" t="s">
        <v>1591</v>
      </c>
      <c r="C500" s="3" t="s">
        <v>1592</v>
      </c>
      <c r="D500" s="3" t="s">
        <v>1593</v>
      </c>
      <c r="E500" s="3" t="s">
        <v>218</v>
      </c>
      <c r="F500" s="3" t="s">
        <v>219</v>
      </c>
      <c r="G500" s="3"/>
      <c r="H500" s="4" t="s">
        <v>357</v>
      </c>
      <c r="I500" s="3"/>
    </row>
    <row r="501" spans="1:9" ht="15" customHeight="1" x14ac:dyDescent="0.25">
      <c r="A501" s="3"/>
      <c r="B501" s="3" t="s">
        <v>1594</v>
      </c>
      <c r="C501" s="3" t="s">
        <v>573</v>
      </c>
      <c r="D501" s="3" t="s">
        <v>1290</v>
      </c>
      <c r="E501" s="3" t="s">
        <v>223</v>
      </c>
      <c r="F501" s="3" t="s">
        <v>219</v>
      </c>
      <c r="G501" s="3"/>
      <c r="H501" s="4" t="s">
        <v>613</v>
      </c>
      <c r="I501" s="3"/>
    </row>
    <row r="502" spans="1:9" ht="15" customHeight="1" x14ac:dyDescent="0.25">
      <c r="A502" s="5">
        <v>1085279057</v>
      </c>
      <c r="B502" s="3" t="s">
        <v>150</v>
      </c>
      <c r="C502" s="3" t="s">
        <v>1595</v>
      </c>
      <c r="D502" s="3" t="s">
        <v>1596</v>
      </c>
      <c r="E502" s="3" t="s">
        <v>223</v>
      </c>
      <c r="F502" s="3" t="s">
        <v>243</v>
      </c>
      <c r="G502" s="3" t="s">
        <v>54</v>
      </c>
      <c r="H502" s="4" t="s">
        <v>320</v>
      </c>
      <c r="I502" s="3"/>
    </row>
    <row r="503" spans="1:9" ht="15" customHeight="1" x14ac:dyDescent="0.25">
      <c r="A503" s="3"/>
      <c r="B503" s="3" t="s">
        <v>1597</v>
      </c>
      <c r="C503" s="3" t="s">
        <v>573</v>
      </c>
      <c r="D503" s="3" t="s">
        <v>1598</v>
      </c>
      <c r="E503" s="3" t="s">
        <v>223</v>
      </c>
      <c r="F503" s="3" t="s">
        <v>219</v>
      </c>
      <c r="G503" s="3"/>
      <c r="H503" s="4" t="s">
        <v>1235</v>
      </c>
      <c r="I503" s="3"/>
    </row>
    <row r="504" spans="1:9" ht="15" customHeight="1" x14ac:dyDescent="0.25">
      <c r="A504" s="3"/>
      <c r="B504" s="3" t="s">
        <v>1599</v>
      </c>
      <c r="C504" s="3" t="s">
        <v>466</v>
      </c>
      <c r="D504" s="3" t="s">
        <v>1600</v>
      </c>
      <c r="E504" s="3" t="s">
        <v>223</v>
      </c>
      <c r="F504" s="3" t="s">
        <v>219</v>
      </c>
      <c r="G504" s="3"/>
      <c r="H504" s="3" t="s">
        <v>10</v>
      </c>
      <c r="I504" s="3"/>
    </row>
    <row r="505" spans="1:9" ht="15" customHeight="1" x14ac:dyDescent="0.25">
      <c r="A505" s="3"/>
      <c r="B505" s="3" t="s">
        <v>1601</v>
      </c>
      <c r="C505" s="3" t="s">
        <v>240</v>
      </c>
      <c r="D505" s="3" t="s">
        <v>1602</v>
      </c>
      <c r="E505" s="3" t="s">
        <v>223</v>
      </c>
      <c r="F505" s="3" t="s">
        <v>219</v>
      </c>
      <c r="G505" s="3"/>
      <c r="H505" s="4" t="s">
        <v>240</v>
      </c>
      <c r="I505" s="3"/>
    </row>
    <row r="506" spans="1:9" ht="15" customHeight="1" x14ac:dyDescent="0.25">
      <c r="A506" s="3"/>
      <c r="B506" s="3" t="s">
        <v>1603</v>
      </c>
      <c r="C506" s="3" t="s">
        <v>1553</v>
      </c>
      <c r="D506" s="3" t="s">
        <v>1604</v>
      </c>
      <c r="E506" s="3" t="s">
        <v>223</v>
      </c>
      <c r="F506" s="3" t="s">
        <v>219</v>
      </c>
      <c r="G506" s="3"/>
      <c r="H506" s="4" t="s">
        <v>534</v>
      </c>
      <c r="I506" s="3"/>
    </row>
    <row r="507" spans="1:9" ht="15" customHeight="1" x14ac:dyDescent="0.25">
      <c r="A507" s="3"/>
      <c r="B507" s="3" t="s">
        <v>1605</v>
      </c>
      <c r="C507" s="3" t="s">
        <v>1606</v>
      </c>
      <c r="D507" s="3" t="s">
        <v>1607</v>
      </c>
      <c r="E507" s="3" t="s">
        <v>223</v>
      </c>
      <c r="F507" s="3" t="s">
        <v>219</v>
      </c>
      <c r="G507" s="3"/>
      <c r="H507" s="4" t="s">
        <v>534</v>
      </c>
      <c r="I507" s="3"/>
    </row>
    <row r="508" spans="1:9" ht="15" customHeight="1" x14ac:dyDescent="0.25">
      <c r="A508" s="5">
        <v>13039116</v>
      </c>
      <c r="B508" s="3" t="s">
        <v>1608</v>
      </c>
      <c r="C508" s="3" t="s">
        <v>1609</v>
      </c>
      <c r="D508" s="3" t="s">
        <v>1610</v>
      </c>
      <c r="E508" s="3" t="s">
        <v>223</v>
      </c>
      <c r="F508" s="3" t="s">
        <v>259</v>
      </c>
      <c r="G508" s="3" t="s">
        <v>260</v>
      </c>
      <c r="H508" s="4" t="s">
        <v>42</v>
      </c>
      <c r="I508" s="3"/>
    </row>
    <row r="509" spans="1:9" ht="15" customHeight="1" x14ac:dyDescent="0.25">
      <c r="A509" s="5">
        <v>98322928</v>
      </c>
      <c r="B509" s="3" t="s">
        <v>135</v>
      </c>
      <c r="C509" s="3" t="s">
        <v>1611</v>
      </c>
      <c r="D509" s="3" t="s">
        <v>1612</v>
      </c>
      <c r="E509" s="3" t="s">
        <v>223</v>
      </c>
      <c r="F509" s="3" t="s">
        <v>243</v>
      </c>
      <c r="G509" s="3" t="s">
        <v>54</v>
      </c>
      <c r="H509" s="4" t="s">
        <v>59</v>
      </c>
      <c r="I509" s="3"/>
    </row>
    <row r="510" spans="1:9" ht="15" customHeight="1" x14ac:dyDescent="0.25">
      <c r="A510" s="5">
        <v>5306085</v>
      </c>
      <c r="B510" s="3" t="s">
        <v>1613</v>
      </c>
      <c r="C510" s="3" t="s">
        <v>1614</v>
      </c>
      <c r="D510" s="3" t="s">
        <v>1615</v>
      </c>
      <c r="E510" s="3" t="s">
        <v>223</v>
      </c>
      <c r="F510" s="3" t="s">
        <v>224</v>
      </c>
      <c r="G510" s="4" t="s">
        <v>6</v>
      </c>
      <c r="H510" s="4" t="s">
        <v>10</v>
      </c>
      <c r="I510" s="3" t="s">
        <v>1616</v>
      </c>
    </row>
    <row r="511" spans="1:9" ht="15" customHeight="1" x14ac:dyDescent="0.25">
      <c r="A511" s="5">
        <v>30713315</v>
      </c>
      <c r="B511" s="3" t="s">
        <v>1617</v>
      </c>
      <c r="C511" s="3" t="s">
        <v>1618</v>
      </c>
      <c r="D511" s="3" t="s">
        <v>1619</v>
      </c>
      <c r="E511" s="3" t="s">
        <v>223</v>
      </c>
      <c r="F511" s="3" t="s">
        <v>224</v>
      </c>
      <c r="G511" s="4" t="s">
        <v>6</v>
      </c>
      <c r="H511" s="4" t="s">
        <v>1620</v>
      </c>
      <c r="I511" s="3"/>
    </row>
    <row r="512" spans="1:9" ht="15" customHeight="1" x14ac:dyDescent="0.25">
      <c r="A512" s="5">
        <v>30732713</v>
      </c>
      <c r="B512" s="3" t="s">
        <v>1621</v>
      </c>
      <c r="C512" s="3" t="s">
        <v>1622</v>
      </c>
      <c r="D512" s="3" t="s">
        <v>1623</v>
      </c>
      <c r="E512" s="3" t="s">
        <v>223</v>
      </c>
      <c r="F512" s="3" t="s">
        <v>232</v>
      </c>
      <c r="G512" s="4" t="s">
        <v>1307</v>
      </c>
      <c r="H512" s="4" t="s">
        <v>992</v>
      </c>
      <c r="I512" s="3"/>
    </row>
    <row r="513" spans="1:9" ht="15" customHeight="1" x14ac:dyDescent="0.25">
      <c r="A513" s="5">
        <v>12979205</v>
      </c>
      <c r="B513" s="3" t="s">
        <v>83</v>
      </c>
      <c r="C513" s="3" t="s">
        <v>1624</v>
      </c>
      <c r="D513" s="3" t="s">
        <v>1625</v>
      </c>
      <c r="E513" s="3" t="s">
        <v>223</v>
      </c>
      <c r="F513" s="3" t="s">
        <v>232</v>
      </c>
      <c r="G513" s="4" t="s">
        <v>23</v>
      </c>
      <c r="H513" s="4" t="s">
        <v>236</v>
      </c>
      <c r="I513" s="3" t="s">
        <v>1626</v>
      </c>
    </row>
    <row r="514" spans="1:9" ht="15" customHeight="1" x14ac:dyDescent="0.25">
      <c r="A514" s="5">
        <v>13039149</v>
      </c>
      <c r="B514" s="3" t="s">
        <v>83</v>
      </c>
      <c r="C514" s="3" t="s">
        <v>1627</v>
      </c>
      <c r="D514" s="3" t="s">
        <v>1628</v>
      </c>
      <c r="E514" s="3" t="s">
        <v>223</v>
      </c>
      <c r="F514" s="3" t="s">
        <v>243</v>
      </c>
      <c r="G514" s="4" t="s">
        <v>8</v>
      </c>
      <c r="H514" s="4" t="s">
        <v>304</v>
      </c>
      <c r="I514" s="3"/>
    </row>
    <row r="515" spans="1:9" ht="15" customHeight="1" x14ac:dyDescent="0.25">
      <c r="A515" s="5">
        <v>87718964</v>
      </c>
      <c r="B515" s="3" t="s">
        <v>1629</v>
      </c>
      <c r="C515" s="3" t="s">
        <v>1630</v>
      </c>
      <c r="D515" s="3" t="s">
        <v>1631</v>
      </c>
      <c r="E515" s="3" t="s">
        <v>223</v>
      </c>
      <c r="F515" s="3" t="s">
        <v>259</v>
      </c>
      <c r="G515" s="3" t="s">
        <v>260</v>
      </c>
      <c r="H515" s="4" t="s">
        <v>24</v>
      </c>
      <c r="I515" s="3"/>
    </row>
    <row r="516" spans="1:9" ht="15" customHeight="1" x14ac:dyDescent="0.25">
      <c r="A516" s="5">
        <v>87065770</v>
      </c>
      <c r="B516" s="3" t="s">
        <v>1632</v>
      </c>
      <c r="C516" s="3" t="s">
        <v>1633</v>
      </c>
      <c r="D516" s="3" t="s">
        <v>1634</v>
      </c>
      <c r="E516" s="3" t="s">
        <v>223</v>
      </c>
      <c r="F516" s="3" t="s">
        <v>259</v>
      </c>
      <c r="G516" s="3" t="s">
        <v>260</v>
      </c>
      <c r="H516" s="4" t="s">
        <v>42</v>
      </c>
      <c r="I516" s="3"/>
    </row>
    <row r="517" spans="1:9" ht="15" customHeight="1" x14ac:dyDescent="0.25">
      <c r="A517" s="5">
        <v>12748999</v>
      </c>
      <c r="B517" s="3" t="s">
        <v>1635</v>
      </c>
      <c r="C517" s="3" t="s">
        <v>1636</v>
      </c>
      <c r="D517" s="3" t="s">
        <v>1637</v>
      </c>
      <c r="E517" s="3" t="s">
        <v>223</v>
      </c>
      <c r="F517" s="3" t="s">
        <v>259</v>
      </c>
      <c r="G517" s="3" t="s">
        <v>260</v>
      </c>
      <c r="H517" s="4" t="s">
        <v>377</v>
      </c>
      <c r="I517" s="3"/>
    </row>
    <row r="518" spans="1:9" ht="15" customHeight="1" x14ac:dyDescent="0.25">
      <c r="A518" s="5">
        <v>30745639</v>
      </c>
      <c r="B518" s="3" t="s">
        <v>1638</v>
      </c>
      <c r="C518" s="3" t="s">
        <v>1639</v>
      </c>
      <c r="D518" s="3" t="s">
        <v>1640</v>
      </c>
      <c r="E518" s="3" t="s">
        <v>223</v>
      </c>
      <c r="F518" s="3" t="s">
        <v>224</v>
      </c>
      <c r="G518" s="4" t="s">
        <v>6</v>
      </c>
      <c r="H518" s="4" t="s">
        <v>56</v>
      </c>
      <c r="I518" s="3"/>
    </row>
    <row r="519" spans="1:9" ht="15" customHeight="1" x14ac:dyDescent="0.25">
      <c r="A519" s="5">
        <v>27472714</v>
      </c>
      <c r="B519" s="3" t="s">
        <v>1641</v>
      </c>
      <c r="C519" s="3" t="s">
        <v>1642</v>
      </c>
      <c r="D519" s="3" t="s">
        <v>1643</v>
      </c>
      <c r="E519" s="3" t="s">
        <v>223</v>
      </c>
      <c r="F519" s="3" t="s">
        <v>259</v>
      </c>
      <c r="G519" s="3" t="s">
        <v>260</v>
      </c>
      <c r="H519" s="4" t="s">
        <v>667</v>
      </c>
      <c r="I519" s="3"/>
    </row>
    <row r="520" spans="1:9" ht="15" customHeight="1" x14ac:dyDescent="0.25">
      <c r="A520" s="5">
        <v>30739164</v>
      </c>
      <c r="B520" s="3" t="s">
        <v>1644</v>
      </c>
      <c r="C520" s="3" t="s">
        <v>1645</v>
      </c>
      <c r="D520" s="3" t="s">
        <v>1646</v>
      </c>
      <c r="E520" s="3" t="s">
        <v>223</v>
      </c>
      <c r="F520" s="3" t="s">
        <v>224</v>
      </c>
      <c r="G520" s="3" t="s">
        <v>452</v>
      </c>
      <c r="H520" s="4" t="s">
        <v>10</v>
      </c>
      <c r="I520" s="3"/>
    </row>
    <row r="521" spans="1:9" ht="15" customHeight="1" x14ac:dyDescent="0.25">
      <c r="A521" s="5">
        <v>30740111</v>
      </c>
      <c r="B521" s="3" t="s">
        <v>1647</v>
      </c>
      <c r="C521" s="3" t="s">
        <v>1648</v>
      </c>
      <c r="D521" s="3" t="s">
        <v>1649</v>
      </c>
      <c r="E521" s="3" t="s">
        <v>223</v>
      </c>
      <c r="F521" s="3" t="s">
        <v>224</v>
      </c>
      <c r="G521" s="4" t="s">
        <v>225</v>
      </c>
      <c r="H521" s="4" t="s">
        <v>10</v>
      </c>
      <c r="I521" s="3"/>
    </row>
    <row r="522" spans="1:9" ht="15" customHeight="1" x14ac:dyDescent="0.25">
      <c r="A522" s="3"/>
      <c r="B522" s="3" t="s">
        <v>1650</v>
      </c>
      <c r="C522" s="3" t="s">
        <v>304</v>
      </c>
      <c r="D522" s="3" t="s">
        <v>1651</v>
      </c>
      <c r="E522" s="3" t="s">
        <v>223</v>
      </c>
      <c r="F522" s="3" t="s">
        <v>219</v>
      </c>
      <c r="G522" s="3"/>
      <c r="H522" s="4" t="s">
        <v>304</v>
      </c>
      <c r="I522" s="3"/>
    </row>
    <row r="523" spans="1:9" ht="15" customHeight="1" x14ac:dyDescent="0.25">
      <c r="A523" s="5">
        <v>36754595</v>
      </c>
      <c r="B523" s="3" t="s">
        <v>1652</v>
      </c>
      <c r="C523" s="3" t="s">
        <v>1653</v>
      </c>
      <c r="D523" s="3" t="s">
        <v>1571</v>
      </c>
      <c r="E523" s="3" t="s">
        <v>223</v>
      </c>
      <c r="F523" s="3" t="s">
        <v>259</v>
      </c>
      <c r="G523" s="3" t="s">
        <v>260</v>
      </c>
      <c r="H523" s="4" t="s">
        <v>42</v>
      </c>
      <c r="I523" s="3"/>
    </row>
    <row r="524" spans="1:9" ht="15" customHeight="1" x14ac:dyDescent="0.25">
      <c r="A524" s="5">
        <v>59816266</v>
      </c>
      <c r="B524" s="3" t="s">
        <v>67</v>
      </c>
      <c r="C524" s="3" t="s">
        <v>1654</v>
      </c>
      <c r="D524" s="3" t="s">
        <v>1655</v>
      </c>
      <c r="E524" s="3" t="s">
        <v>223</v>
      </c>
      <c r="F524" s="3" t="s">
        <v>224</v>
      </c>
      <c r="G524" s="4" t="s">
        <v>6</v>
      </c>
      <c r="H524" s="4" t="s">
        <v>240</v>
      </c>
      <c r="I524" s="3"/>
    </row>
    <row r="525" spans="1:9" ht="15" customHeight="1" x14ac:dyDescent="0.25">
      <c r="A525" s="5">
        <v>30745285</v>
      </c>
      <c r="B525" s="3" t="s">
        <v>121</v>
      </c>
      <c r="C525" s="3" t="s">
        <v>1656</v>
      </c>
      <c r="D525" s="3" t="s">
        <v>1657</v>
      </c>
      <c r="E525" s="3" t="s">
        <v>223</v>
      </c>
      <c r="F525" s="3" t="s">
        <v>224</v>
      </c>
      <c r="G525" s="4" t="s">
        <v>6</v>
      </c>
      <c r="H525" s="4" t="s">
        <v>44</v>
      </c>
      <c r="I525" s="3"/>
    </row>
    <row r="526" spans="1:9" ht="15" customHeight="1" x14ac:dyDescent="0.25">
      <c r="A526" s="5">
        <v>59679109</v>
      </c>
      <c r="B526" s="3" t="s">
        <v>1658</v>
      </c>
      <c r="C526" s="3" t="s">
        <v>1659</v>
      </c>
      <c r="D526" s="3" t="s">
        <v>1660</v>
      </c>
      <c r="E526" s="3" t="s">
        <v>223</v>
      </c>
      <c r="F526" s="3" t="s">
        <v>259</v>
      </c>
      <c r="G526" s="3" t="s">
        <v>260</v>
      </c>
      <c r="H526" s="4" t="s">
        <v>323</v>
      </c>
      <c r="I526" s="3"/>
    </row>
    <row r="527" spans="1:9" ht="15" customHeight="1" x14ac:dyDescent="0.25">
      <c r="A527" s="5">
        <v>1087345603</v>
      </c>
      <c r="B527" s="3" t="s">
        <v>1658</v>
      </c>
      <c r="C527" s="3" t="s">
        <v>1661</v>
      </c>
      <c r="D527" s="3" t="s">
        <v>1662</v>
      </c>
      <c r="E527" s="3" t="s">
        <v>223</v>
      </c>
      <c r="F527" s="3" t="s">
        <v>259</v>
      </c>
      <c r="G527" s="3" t="s">
        <v>260</v>
      </c>
      <c r="H527" s="4" t="s">
        <v>357</v>
      </c>
      <c r="I527" s="3"/>
    </row>
    <row r="528" spans="1:9" ht="15" customHeight="1" x14ac:dyDescent="0.25">
      <c r="A528" s="5">
        <v>30732849</v>
      </c>
      <c r="B528" s="3" t="s">
        <v>98</v>
      </c>
      <c r="C528" s="3" t="s">
        <v>1663</v>
      </c>
      <c r="D528" s="3" t="s">
        <v>1664</v>
      </c>
      <c r="E528" s="3" t="s">
        <v>218</v>
      </c>
      <c r="F528" s="3" t="s">
        <v>224</v>
      </c>
      <c r="G528" s="4" t="s">
        <v>225</v>
      </c>
      <c r="H528" s="4" t="s">
        <v>247</v>
      </c>
      <c r="I528" s="3"/>
    </row>
    <row r="529" spans="1:9" ht="15" customHeight="1" x14ac:dyDescent="0.25">
      <c r="A529" s="5">
        <v>59830613</v>
      </c>
      <c r="B529" s="3" t="s">
        <v>30</v>
      </c>
      <c r="C529" s="3" t="s">
        <v>1665</v>
      </c>
      <c r="D529" s="3" t="s">
        <v>1666</v>
      </c>
      <c r="E529" s="3" t="s">
        <v>223</v>
      </c>
      <c r="F529" s="3" t="s">
        <v>228</v>
      </c>
      <c r="G529" s="4" t="s">
        <v>6</v>
      </c>
      <c r="H529" s="4" t="s">
        <v>15</v>
      </c>
      <c r="I529" s="3"/>
    </row>
    <row r="530" spans="1:9" ht="15" customHeight="1" x14ac:dyDescent="0.25">
      <c r="A530" s="5">
        <v>36751280</v>
      </c>
      <c r="B530" s="3" t="s">
        <v>1667</v>
      </c>
      <c r="C530" s="3" t="s">
        <v>1668</v>
      </c>
      <c r="D530" s="3" t="s">
        <v>1669</v>
      </c>
      <c r="E530" s="3" t="s">
        <v>223</v>
      </c>
      <c r="F530" s="3" t="s">
        <v>259</v>
      </c>
      <c r="G530" s="3" t="s">
        <v>260</v>
      </c>
      <c r="H530" s="4" t="s">
        <v>24</v>
      </c>
      <c r="I530" s="3"/>
    </row>
    <row r="531" spans="1:9" ht="15" customHeight="1" x14ac:dyDescent="0.25">
      <c r="A531" s="5">
        <v>30742359</v>
      </c>
      <c r="B531" s="3" t="s">
        <v>1670</v>
      </c>
      <c r="C531" s="3" t="s">
        <v>1671</v>
      </c>
      <c r="D531" s="3" t="s">
        <v>1672</v>
      </c>
      <c r="E531" s="3" t="s">
        <v>223</v>
      </c>
      <c r="F531" s="3" t="s">
        <v>224</v>
      </c>
      <c r="G531" s="4" t="s">
        <v>225</v>
      </c>
      <c r="H531" s="4" t="s">
        <v>10</v>
      </c>
      <c r="I531" s="3"/>
    </row>
    <row r="532" spans="1:9" ht="15" customHeight="1" x14ac:dyDescent="0.25">
      <c r="A532" s="5">
        <v>1144041023</v>
      </c>
      <c r="B532" s="3" t="s">
        <v>1673</v>
      </c>
      <c r="C532" s="3" t="s">
        <v>1674</v>
      </c>
      <c r="D532" s="3" t="s">
        <v>1675</v>
      </c>
      <c r="E532" s="3" t="s">
        <v>223</v>
      </c>
      <c r="F532" s="3" t="s">
        <v>259</v>
      </c>
      <c r="G532" s="3" t="s">
        <v>260</v>
      </c>
      <c r="H532" s="4" t="s">
        <v>683</v>
      </c>
      <c r="I532" s="3"/>
    </row>
    <row r="533" spans="1:9" ht="15" customHeight="1" x14ac:dyDescent="0.25">
      <c r="A533" s="5">
        <v>98392620</v>
      </c>
      <c r="B533" s="3" t="s">
        <v>1676</v>
      </c>
      <c r="C533" s="3" t="s">
        <v>1677</v>
      </c>
      <c r="D533" s="3" t="s">
        <v>1678</v>
      </c>
      <c r="E533" s="3" t="s">
        <v>223</v>
      </c>
      <c r="F533" s="3" t="s">
        <v>259</v>
      </c>
      <c r="G533" s="3" t="s">
        <v>260</v>
      </c>
      <c r="H533" s="4" t="s">
        <v>320</v>
      </c>
      <c r="I533" s="3"/>
    </row>
    <row r="534" spans="1:9" ht="15" customHeight="1" x14ac:dyDescent="0.25">
      <c r="A534" s="3"/>
      <c r="B534" s="3" t="s">
        <v>2</v>
      </c>
      <c r="C534" s="3" t="s">
        <v>1679</v>
      </c>
      <c r="D534" s="3" t="s">
        <v>1680</v>
      </c>
      <c r="E534" s="3" t="s">
        <v>223</v>
      </c>
      <c r="F534" s="3" t="s">
        <v>219</v>
      </c>
      <c r="G534" s="3"/>
      <c r="H534" s="4" t="s">
        <v>10</v>
      </c>
      <c r="I534" s="3"/>
    </row>
    <row r="535" spans="1:9" ht="15" customHeight="1" x14ac:dyDescent="0.25">
      <c r="A535" s="3"/>
      <c r="B535" s="3" t="s">
        <v>1681</v>
      </c>
      <c r="C535" s="3" t="s">
        <v>1682</v>
      </c>
      <c r="D535" s="3" t="s">
        <v>1683</v>
      </c>
      <c r="E535" s="3" t="s">
        <v>223</v>
      </c>
      <c r="F535" s="3" t="s">
        <v>219</v>
      </c>
      <c r="G535" s="3"/>
      <c r="H535" s="4" t="s">
        <v>247</v>
      </c>
      <c r="I535" s="3"/>
    </row>
    <row r="536" spans="1:9" ht="15" customHeight="1" x14ac:dyDescent="0.25">
      <c r="A536" s="3"/>
      <c r="B536" s="3" t="s">
        <v>429</v>
      </c>
      <c r="C536" s="3" t="s">
        <v>447</v>
      </c>
      <c r="D536" s="3" t="s">
        <v>1684</v>
      </c>
      <c r="E536" s="3" t="s">
        <v>223</v>
      </c>
      <c r="F536" s="3" t="s">
        <v>219</v>
      </c>
      <c r="G536" s="3"/>
      <c r="H536" s="4" t="s">
        <v>429</v>
      </c>
      <c r="I536" s="3"/>
    </row>
    <row r="537" spans="1:9" ht="15" customHeight="1" x14ac:dyDescent="0.25">
      <c r="A537" s="3"/>
      <c r="B537" s="3" t="s">
        <v>1685</v>
      </c>
      <c r="C537" s="3" t="s">
        <v>1686</v>
      </c>
      <c r="D537" s="3" t="s">
        <v>1687</v>
      </c>
      <c r="E537" s="3" t="s">
        <v>223</v>
      </c>
      <c r="F537" s="3" t="s">
        <v>219</v>
      </c>
      <c r="G537" s="3"/>
      <c r="H537" s="4" t="s">
        <v>410</v>
      </c>
      <c r="I537" s="3"/>
    </row>
    <row r="538" spans="1:9" ht="15" customHeight="1" x14ac:dyDescent="0.25">
      <c r="A538" s="5">
        <v>98322218</v>
      </c>
      <c r="B538" s="3" t="s">
        <v>134</v>
      </c>
      <c r="C538" s="3" t="s">
        <v>1688</v>
      </c>
      <c r="D538" s="3" t="s">
        <v>1689</v>
      </c>
      <c r="E538" s="3" t="s">
        <v>223</v>
      </c>
      <c r="F538" s="3" t="s">
        <v>243</v>
      </c>
      <c r="G538" s="4" t="s">
        <v>8</v>
      </c>
      <c r="H538" s="4" t="s">
        <v>263</v>
      </c>
      <c r="I538" s="3"/>
    </row>
    <row r="539" spans="1:9" ht="15" customHeight="1" x14ac:dyDescent="0.25">
      <c r="A539" s="3"/>
      <c r="B539" s="3" t="s">
        <v>1690</v>
      </c>
      <c r="C539" s="3" t="s">
        <v>466</v>
      </c>
      <c r="D539" s="3" t="s">
        <v>1691</v>
      </c>
      <c r="E539" s="3" t="s">
        <v>223</v>
      </c>
      <c r="F539" s="3" t="s">
        <v>219</v>
      </c>
      <c r="G539" s="3"/>
      <c r="H539" s="3" t="s">
        <v>10</v>
      </c>
      <c r="I539" s="3"/>
    </row>
    <row r="540" spans="1:9" ht="15" customHeight="1" x14ac:dyDescent="0.25">
      <c r="A540" s="3"/>
      <c r="B540" s="3" t="s">
        <v>1692</v>
      </c>
      <c r="C540" s="3" t="s">
        <v>1693</v>
      </c>
      <c r="D540" s="3" t="s">
        <v>1694</v>
      </c>
      <c r="E540" s="3" t="s">
        <v>223</v>
      </c>
      <c r="F540" s="3" t="s">
        <v>219</v>
      </c>
      <c r="G540" s="3"/>
      <c r="H540" s="4" t="s">
        <v>10</v>
      </c>
      <c r="I540" s="3"/>
    </row>
    <row r="541" spans="1:9" ht="15" customHeight="1" x14ac:dyDescent="0.25">
      <c r="A541" s="5">
        <v>1085250622</v>
      </c>
      <c r="B541" s="3" t="s">
        <v>1695</v>
      </c>
      <c r="C541" s="3" t="s">
        <v>1696</v>
      </c>
      <c r="D541" s="3" t="s">
        <v>1697</v>
      </c>
      <c r="E541" s="3" t="s">
        <v>223</v>
      </c>
      <c r="F541" s="3" t="s">
        <v>259</v>
      </c>
      <c r="G541" s="3" t="s">
        <v>260</v>
      </c>
      <c r="H541" s="4" t="s">
        <v>365</v>
      </c>
      <c r="I541" s="3"/>
    </row>
    <row r="542" spans="1:9" ht="15" customHeight="1" x14ac:dyDescent="0.25">
      <c r="A542" s="5">
        <v>27548211</v>
      </c>
      <c r="B542" s="3" t="s">
        <v>16</v>
      </c>
      <c r="C542" s="3" t="s">
        <v>1698</v>
      </c>
      <c r="D542" s="3" t="s">
        <v>1699</v>
      </c>
      <c r="E542" s="3" t="s">
        <v>223</v>
      </c>
      <c r="F542" s="3" t="s">
        <v>232</v>
      </c>
      <c r="G542" s="4" t="s">
        <v>6</v>
      </c>
      <c r="H542" s="4" t="s">
        <v>42</v>
      </c>
      <c r="I542" s="3"/>
    </row>
    <row r="543" spans="1:9" ht="15" customHeight="1" x14ac:dyDescent="0.25">
      <c r="A543" s="5">
        <v>13063543</v>
      </c>
      <c r="B543" s="3" t="s">
        <v>163</v>
      </c>
      <c r="C543" s="3" t="s">
        <v>1700</v>
      </c>
      <c r="D543" s="3" t="s">
        <v>1701</v>
      </c>
      <c r="E543" s="3" t="s">
        <v>223</v>
      </c>
      <c r="F543" s="3" t="s">
        <v>224</v>
      </c>
      <c r="G543" s="4" t="s">
        <v>6</v>
      </c>
      <c r="H543" s="4" t="s">
        <v>44</v>
      </c>
      <c r="I543" s="3"/>
    </row>
    <row r="544" spans="1:9" ht="15" customHeight="1" x14ac:dyDescent="0.25">
      <c r="A544" s="3"/>
      <c r="B544" s="3" t="s">
        <v>1702</v>
      </c>
      <c r="C544" s="3" t="s">
        <v>444</v>
      </c>
      <c r="D544" s="3" t="s">
        <v>1703</v>
      </c>
      <c r="E544" s="3" t="s">
        <v>223</v>
      </c>
      <c r="F544" s="3" t="s">
        <v>219</v>
      </c>
      <c r="G544" s="3"/>
      <c r="H544" s="4" t="s">
        <v>320</v>
      </c>
      <c r="I544" s="3"/>
    </row>
    <row r="545" spans="1:9" ht="15" customHeight="1" x14ac:dyDescent="0.25">
      <c r="A545" s="3"/>
      <c r="B545" s="3" t="s">
        <v>1704</v>
      </c>
      <c r="C545" s="3" t="s">
        <v>253</v>
      </c>
      <c r="D545" s="3" t="s">
        <v>1705</v>
      </c>
      <c r="E545" s="3" t="s">
        <v>218</v>
      </c>
      <c r="F545" s="3" t="s">
        <v>219</v>
      </c>
      <c r="G545" s="3"/>
      <c r="H545" s="4" t="s">
        <v>683</v>
      </c>
      <c r="I545" s="3"/>
    </row>
    <row r="546" spans="1:9" ht="15" customHeight="1" x14ac:dyDescent="0.25">
      <c r="A546" s="3"/>
      <c r="B546" s="3" t="s">
        <v>1561</v>
      </c>
      <c r="C546" s="3" t="s">
        <v>1706</v>
      </c>
      <c r="D546" s="3" t="s">
        <v>1707</v>
      </c>
      <c r="E546" s="3" t="s">
        <v>223</v>
      </c>
      <c r="F546" s="3" t="s">
        <v>219</v>
      </c>
      <c r="G546" s="3"/>
      <c r="H546" s="4" t="s">
        <v>1708</v>
      </c>
      <c r="I546" s="3"/>
    </row>
    <row r="547" spans="1:9" ht="15" customHeight="1" x14ac:dyDescent="0.25">
      <c r="A547" s="5">
        <v>59312653</v>
      </c>
      <c r="B547" s="3" t="s">
        <v>1709</v>
      </c>
      <c r="C547" s="3" t="s">
        <v>1710</v>
      </c>
      <c r="D547" s="3" t="s">
        <v>1711</v>
      </c>
      <c r="E547" s="3" t="s">
        <v>223</v>
      </c>
      <c r="F547" s="3" t="s">
        <v>259</v>
      </c>
      <c r="G547" s="3" t="s">
        <v>260</v>
      </c>
      <c r="H547" s="4" t="s">
        <v>365</v>
      </c>
      <c r="I547" s="3"/>
    </row>
    <row r="548" spans="1:9" ht="15" customHeight="1" x14ac:dyDescent="0.25">
      <c r="A548" s="5">
        <v>30746606</v>
      </c>
      <c r="B548" s="3" t="s">
        <v>49</v>
      </c>
      <c r="C548" s="3" t="s">
        <v>1712</v>
      </c>
      <c r="D548" s="3" t="s">
        <v>1713</v>
      </c>
      <c r="E548" s="3" t="s">
        <v>223</v>
      </c>
      <c r="F548" s="3" t="s">
        <v>224</v>
      </c>
      <c r="G548" s="4" t="s">
        <v>6</v>
      </c>
      <c r="H548" s="4" t="s">
        <v>240</v>
      </c>
      <c r="I548" s="3"/>
    </row>
    <row r="549" spans="1:9" ht="15" customHeight="1" x14ac:dyDescent="0.25">
      <c r="A549" s="5">
        <v>30724935</v>
      </c>
      <c r="B549" s="3" t="s">
        <v>114</v>
      </c>
      <c r="C549" s="3" t="s">
        <v>1714</v>
      </c>
      <c r="D549" s="3" t="s">
        <v>1715</v>
      </c>
      <c r="E549" s="3" t="s">
        <v>223</v>
      </c>
      <c r="F549" s="3" t="s">
        <v>224</v>
      </c>
      <c r="G549" s="4" t="s">
        <v>6</v>
      </c>
      <c r="H549" s="4" t="s">
        <v>46</v>
      </c>
      <c r="I549" s="3"/>
    </row>
    <row r="550" spans="1:9" ht="15" customHeight="1" x14ac:dyDescent="0.25">
      <c r="A550" s="3"/>
      <c r="B550" s="3" t="s">
        <v>1716</v>
      </c>
      <c r="C550" s="3" t="s">
        <v>1717</v>
      </c>
      <c r="D550" s="3" t="s">
        <v>1718</v>
      </c>
      <c r="E550" s="3" t="s">
        <v>223</v>
      </c>
      <c r="F550" s="3" t="s">
        <v>219</v>
      </c>
      <c r="G550" s="3"/>
      <c r="H550" s="4" t="s">
        <v>320</v>
      </c>
      <c r="I550" s="3"/>
    </row>
    <row r="551" spans="1:9" ht="15" customHeight="1" x14ac:dyDescent="0.25">
      <c r="A551" s="5">
        <v>52715951</v>
      </c>
      <c r="B551" s="3" t="s">
        <v>189</v>
      </c>
      <c r="C551" s="3" t="s">
        <v>1719</v>
      </c>
      <c r="D551" s="3" t="s">
        <v>1720</v>
      </c>
      <c r="E551" s="3" t="s">
        <v>223</v>
      </c>
      <c r="F551" s="3" t="s">
        <v>224</v>
      </c>
      <c r="G551" s="4" t="s">
        <v>6</v>
      </c>
      <c r="H551" s="4" t="s">
        <v>87</v>
      </c>
      <c r="I551" s="3"/>
    </row>
    <row r="552" spans="1:9" ht="15" customHeight="1" x14ac:dyDescent="0.25">
      <c r="A552" s="5">
        <v>59835049</v>
      </c>
      <c r="B552" s="3" t="s">
        <v>1721</v>
      </c>
      <c r="C552" s="3" t="s">
        <v>1722</v>
      </c>
      <c r="D552" s="3" t="s">
        <v>1723</v>
      </c>
      <c r="E552" s="3" t="s">
        <v>223</v>
      </c>
      <c r="F552" s="3" t="s">
        <v>259</v>
      </c>
      <c r="G552" s="3" t="s">
        <v>260</v>
      </c>
      <c r="H552" s="4" t="s">
        <v>281</v>
      </c>
      <c r="I552" s="3"/>
    </row>
    <row r="553" spans="1:9" ht="15" customHeight="1" x14ac:dyDescent="0.25">
      <c r="A553" s="5">
        <v>1087959828</v>
      </c>
      <c r="B553" s="3" t="s">
        <v>1724</v>
      </c>
      <c r="C553" s="3" t="s">
        <v>1725</v>
      </c>
      <c r="D553" s="3" t="s">
        <v>1726</v>
      </c>
      <c r="E553" s="3" t="s">
        <v>223</v>
      </c>
      <c r="F553" s="3" t="s">
        <v>259</v>
      </c>
      <c r="G553" s="3" t="s">
        <v>260</v>
      </c>
      <c r="H553" s="4" t="s">
        <v>304</v>
      </c>
      <c r="I553" s="3"/>
    </row>
    <row r="554" spans="1:9" ht="15" customHeight="1" x14ac:dyDescent="0.25">
      <c r="A554" s="3"/>
      <c r="B554" s="3" t="s">
        <v>1727</v>
      </c>
      <c r="C554" s="3" t="s">
        <v>715</v>
      </c>
      <c r="D554" s="3" t="s">
        <v>1728</v>
      </c>
      <c r="E554" s="3" t="s">
        <v>223</v>
      </c>
      <c r="F554" s="3" t="s">
        <v>219</v>
      </c>
      <c r="G554" s="3"/>
      <c r="H554" s="4" t="s">
        <v>639</v>
      </c>
      <c r="I554" s="3"/>
    </row>
    <row r="555" spans="1:9" ht="15" customHeight="1" x14ac:dyDescent="0.25">
      <c r="A555" s="3"/>
      <c r="B555" s="3" t="s">
        <v>1729</v>
      </c>
      <c r="C555" s="3" t="s">
        <v>1730</v>
      </c>
      <c r="D555" s="3" t="s">
        <v>1731</v>
      </c>
      <c r="E555" s="3" t="s">
        <v>223</v>
      </c>
      <c r="F555" s="3" t="s">
        <v>1732</v>
      </c>
      <c r="G555" s="3"/>
      <c r="H555" s="4" t="s">
        <v>1733</v>
      </c>
      <c r="I555" s="3"/>
    </row>
    <row r="556" spans="1:9" ht="15" customHeight="1" x14ac:dyDescent="0.25">
      <c r="A556" s="3"/>
      <c r="B556" s="3" t="s">
        <v>1729</v>
      </c>
      <c r="C556" s="3" t="s">
        <v>1734</v>
      </c>
      <c r="D556" s="3" t="s">
        <v>1735</v>
      </c>
      <c r="E556" s="3" t="s">
        <v>218</v>
      </c>
      <c r="F556" s="3" t="s">
        <v>219</v>
      </c>
      <c r="G556" s="3"/>
      <c r="H556" s="4" t="s">
        <v>263</v>
      </c>
      <c r="I556" s="3"/>
    </row>
    <row r="557" spans="1:9" ht="15" customHeight="1" x14ac:dyDescent="0.25">
      <c r="A557" s="3"/>
      <c r="B557" s="3" t="s">
        <v>1736</v>
      </c>
      <c r="C557" s="3" t="s">
        <v>1737</v>
      </c>
      <c r="D557" s="3" t="s">
        <v>1738</v>
      </c>
      <c r="E557" s="3" t="s">
        <v>223</v>
      </c>
      <c r="F557" s="3" t="s">
        <v>219</v>
      </c>
      <c r="G557" s="3"/>
      <c r="H557" s="4" t="s">
        <v>56</v>
      </c>
      <c r="I557" s="3"/>
    </row>
    <row r="558" spans="1:9" ht="15" customHeight="1" x14ac:dyDescent="0.25">
      <c r="A558" s="3"/>
      <c r="B558" s="3" t="s">
        <v>1739</v>
      </c>
      <c r="C558" s="3" t="s">
        <v>1740</v>
      </c>
      <c r="D558" s="3" t="s">
        <v>1741</v>
      </c>
      <c r="E558" s="3" t="s">
        <v>223</v>
      </c>
      <c r="F558" s="3" t="s">
        <v>1732</v>
      </c>
      <c r="G558" s="3"/>
      <c r="H558" s="4" t="s">
        <v>534</v>
      </c>
      <c r="I558" s="3"/>
    </row>
    <row r="559" spans="1:9" ht="15" customHeight="1" x14ac:dyDescent="0.25">
      <c r="A559" s="3"/>
      <c r="B559" s="3" t="s">
        <v>1742</v>
      </c>
      <c r="C559" s="3" t="s">
        <v>933</v>
      </c>
      <c r="D559" s="3" t="s">
        <v>1743</v>
      </c>
      <c r="E559" s="3" t="s">
        <v>223</v>
      </c>
      <c r="F559" s="3" t="s">
        <v>1732</v>
      </c>
      <c r="G559" s="3"/>
      <c r="H559" s="4" t="s">
        <v>1744</v>
      </c>
      <c r="I559" s="3"/>
    </row>
    <row r="560" spans="1:9" ht="15" customHeight="1" x14ac:dyDescent="0.25">
      <c r="A560" s="5">
        <v>27143975</v>
      </c>
      <c r="B560" s="3" t="s">
        <v>1745</v>
      </c>
      <c r="C560" s="3" t="s">
        <v>1746</v>
      </c>
      <c r="D560" s="3" t="s">
        <v>1747</v>
      </c>
      <c r="E560" s="3" t="s">
        <v>223</v>
      </c>
      <c r="F560" s="3" t="s">
        <v>243</v>
      </c>
      <c r="G560" s="4" t="s">
        <v>225</v>
      </c>
      <c r="H560" s="4" t="s">
        <v>10</v>
      </c>
      <c r="I560" s="3"/>
    </row>
    <row r="561" spans="1:9" ht="15" customHeight="1" x14ac:dyDescent="0.25">
      <c r="A561" s="3"/>
      <c r="B561" s="3" t="s">
        <v>1748</v>
      </c>
      <c r="C561" s="3" t="s">
        <v>573</v>
      </c>
      <c r="D561" s="3" t="s">
        <v>1749</v>
      </c>
      <c r="E561" s="3" t="s">
        <v>223</v>
      </c>
      <c r="F561" s="3" t="s">
        <v>219</v>
      </c>
      <c r="G561" s="3"/>
      <c r="H561" s="4" t="s">
        <v>304</v>
      </c>
      <c r="I561" s="3"/>
    </row>
    <row r="562" spans="1:9" ht="15" customHeight="1" x14ac:dyDescent="0.25">
      <c r="A562" s="5">
        <v>1085325448</v>
      </c>
      <c r="B562" s="3" t="s">
        <v>1750</v>
      </c>
      <c r="C562" s="3" t="s">
        <v>1751</v>
      </c>
      <c r="D562" s="3" t="s">
        <v>1752</v>
      </c>
      <c r="E562" s="3" t="s">
        <v>223</v>
      </c>
      <c r="F562" s="3" t="s">
        <v>259</v>
      </c>
      <c r="G562" s="3" t="s">
        <v>260</v>
      </c>
      <c r="H562" s="4" t="s">
        <v>87</v>
      </c>
      <c r="I562" s="3"/>
    </row>
    <row r="563" spans="1:9" ht="15" customHeight="1" x14ac:dyDescent="0.25">
      <c r="A563" s="5">
        <v>1085662951</v>
      </c>
      <c r="B563" s="3" t="s">
        <v>1753</v>
      </c>
      <c r="C563" s="3" t="s">
        <v>1754</v>
      </c>
      <c r="D563" s="3" t="s">
        <v>1755</v>
      </c>
      <c r="E563" s="3" t="s">
        <v>223</v>
      </c>
      <c r="F563" s="3" t="s">
        <v>260</v>
      </c>
      <c r="G563" s="3" t="s">
        <v>1756</v>
      </c>
      <c r="H563" s="4" t="s">
        <v>320</v>
      </c>
      <c r="I563" s="3"/>
    </row>
    <row r="564" spans="1:9" ht="15" customHeight="1" x14ac:dyDescent="0.25">
      <c r="A564" s="5">
        <v>30732802</v>
      </c>
      <c r="B564" s="3" t="s">
        <v>1757</v>
      </c>
      <c r="C564" s="3" t="s">
        <v>1758</v>
      </c>
      <c r="D564" s="3" t="s">
        <v>1759</v>
      </c>
      <c r="E564" s="3" t="s">
        <v>223</v>
      </c>
      <c r="F564" s="3" t="s">
        <v>243</v>
      </c>
      <c r="G564" s="3" t="s">
        <v>2</v>
      </c>
      <c r="H564" s="4" t="s">
        <v>429</v>
      </c>
      <c r="I564" s="3"/>
    </row>
    <row r="565" spans="1:9" ht="15" customHeight="1" x14ac:dyDescent="0.25">
      <c r="A565" s="5">
        <v>59830899</v>
      </c>
      <c r="B565" s="3" t="s">
        <v>1760</v>
      </c>
      <c r="C565" s="3" t="s">
        <v>1761</v>
      </c>
      <c r="D565" s="3" t="s">
        <v>1762</v>
      </c>
      <c r="E565" s="3" t="s">
        <v>223</v>
      </c>
      <c r="F565" s="3" t="s">
        <v>224</v>
      </c>
      <c r="G565" s="4" t="s">
        <v>225</v>
      </c>
      <c r="H565" s="4" t="s">
        <v>10</v>
      </c>
      <c r="I565" s="3"/>
    </row>
    <row r="566" spans="1:9" ht="15" customHeight="1" x14ac:dyDescent="0.25">
      <c r="A566" s="3"/>
      <c r="B566" s="3" t="s">
        <v>237</v>
      </c>
      <c r="C566" s="3" t="s">
        <v>608</v>
      </c>
      <c r="D566" s="3" t="s">
        <v>1763</v>
      </c>
      <c r="E566" s="3" t="s">
        <v>223</v>
      </c>
      <c r="F566" s="3" t="s">
        <v>219</v>
      </c>
      <c r="G566" s="3"/>
      <c r="H566" s="4" t="s">
        <v>1764</v>
      </c>
      <c r="I566" s="3"/>
    </row>
    <row r="567" spans="1:9" ht="15" customHeight="1" x14ac:dyDescent="0.25">
      <c r="A567" s="3"/>
      <c r="B567" s="3" t="s">
        <v>1765</v>
      </c>
      <c r="C567" s="3" t="s">
        <v>573</v>
      </c>
      <c r="D567" s="3" t="s">
        <v>1766</v>
      </c>
      <c r="E567" s="3" t="s">
        <v>223</v>
      </c>
      <c r="F567" s="3" t="s">
        <v>219</v>
      </c>
      <c r="G567" s="3"/>
      <c r="H567" s="4" t="s">
        <v>575</v>
      </c>
      <c r="I567" s="3"/>
    </row>
    <row r="568" spans="1:9" ht="15" customHeight="1" x14ac:dyDescent="0.25">
      <c r="A568" s="3"/>
      <c r="B568" s="3" t="s">
        <v>1767</v>
      </c>
      <c r="C568" s="3" t="s">
        <v>444</v>
      </c>
      <c r="D568" s="3" t="s">
        <v>1768</v>
      </c>
      <c r="E568" s="3" t="s">
        <v>223</v>
      </c>
      <c r="F568" s="3" t="s">
        <v>219</v>
      </c>
      <c r="G568" s="3"/>
      <c r="H568" s="4" t="s">
        <v>320</v>
      </c>
      <c r="I568" s="3"/>
    </row>
    <row r="569" spans="1:9" ht="15" customHeight="1" x14ac:dyDescent="0.25">
      <c r="A569" s="3"/>
      <c r="B569" s="3" t="s">
        <v>1769</v>
      </c>
      <c r="C569" s="3" t="s">
        <v>573</v>
      </c>
      <c r="D569" s="3" t="s">
        <v>1770</v>
      </c>
      <c r="E569" s="3" t="s">
        <v>223</v>
      </c>
      <c r="F569" s="3" t="s">
        <v>219</v>
      </c>
      <c r="G569" s="3"/>
      <c r="H569" s="4" t="s">
        <v>410</v>
      </c>
      <c r="I569" s="3"/>
    </row>
    <row r="570" spans="1:9" ht="15" customHeight="1" x14ac:dyDescent="0.25">
      <c r="A570" s="3"/>
      <c r="B570" s="3" t="s">
        <v>1771</v>
      </c>
      <c r="C570" s="3" t="s">
        <v>573</v>
      </c>
      <c r="D570" s="3" t="s">
        <v>1772</v>
      </c>
      <c r="E570" s="3" t="s">
        <v>223</v>
      </c>
      <c r="F570" s="3" t="s">
        <v>219</v>
      </c>
      <c r="G570" s="3"/>
      <c r="H570" s="4" t="s">
        <v>410</v>
      </c>
      <c r="I570" s="3"/>
    </row>
    <row r="571" spans="1:9" ht="15" customHeight="1" x14ac:dyDescent="0.25">
      <c r="A571" s="3"/>
      <c r="B571" s="3" t="s">
        <v>1773</v>
      </c>
      <c r="C571" s="3" t="s">
        <v>1774</v>
      </c>
      <c r="D571" s="3" t="s">
        <v>1775</v>
      </c>
      <c r="E571" s="3" t="s">
        <v>223</v>
      </c>
      <c r="F571" s="3" t="s">
        <v>219</v>
      </c>
      <c r="G571" s="3"/>
      <c r="H571" s="4" t="s">
        <v>410</v>
      </c>
      <c r="I571" s="3"/>
    </row>
    <row r="572" spans="1:9" ht="15" customHeight="1" x14ac:dyDescent="0.25">
      <c r="A572" s="3"/>
      <c r="B572" s="3" t="s">
        <v>1773</v>
      </c>
      <c r="C572" s="3" t="s">
        <v>1776</v>
      </c>
      <c r="D572" s="3" t="s">
        <v>1777</v>
      </c>
      <c r="E572" s="3" t="s">
        <v>223</v>
      </c>
      <c r="F572" s="3" t="s">
        <v>219</v>
      </c>
      <c r="G572" s="3"/>
      <c r="H572" s="4" t="s">
        <v>410</v>
      </c>
      <c r="I572" s="3"/>
    </row>
    <row r="573" spans="1:9" ht="15" customHeight="1" x14ac:dyDescent="0.25">
      <c r="A573" s="3"/>
      <c r="B573" s="3" t="s">
        <v>1773</v>
      </c>
      <c r="C573" s="3" t="s">
        <v>1778</v>
      </c>
      <c r="D573" s="3" t="s">
        <v>1779</v>
      </c>
      <c r="E573" s="3" t="s">
        <v>223</v>
      </c>
      <c r="F573" s="3" t="s">
        <v>219</v>
      </c>
      <c r="G573" s="3"/>
      <c r="H573" s="4" t="s">
        <v>410</v>
      </c>
      <c r="I573" s="3"/>
    </row>
    <row r="574" spans="1:9" ht="15" customHeight="1" x14ac:dyDescent="0.25">
      <c r="A574" s="3"/>
      <c r="B574" s="3" t="s">
        <v>1773</v>
      </c>
      <c r="C574" s="3" t="s">
        <v>1780</v>
      </c>
      <c r="D574" s="3" t="s">
        <v>1781</v>
      </c>
      <c r="E574" s="3" t="s">
        <v>223</v>
      </c>
      <c r="F574" s="3" t="s">
        <v>219</v>
      </c>
      <c r="G574" s="3"/>
      <c r="H574" s="4" t="s">
        <v>410</v>
      </c>
      <c r="I574" s="3"/>
    </row>
    <row r="575" spans="1:9" ht="15" customHeight="1" x14ac:dyDescent="0.25">
      <c r="A575" s="3"/>
      <c r="B575" s="3" t="s">
        <v>1773</v>
      </c>
      <c r="C575" s="3" t="s">
        <v>1782</v>
      </c>
      <c r="D575" s="3" t="s">
        <v>1783</v>
      </c>
      <c r="E575" s="3" t="s">
        <v>223</v>
      </c>
      <c r="F575" s="3" t="s">
        <v>219</v>
      </c>
      <c r="G575" s="3"/>
      <c r="H575" s="4" t="s">
        <v>410</v>
      </c>
      <c r="I575" s="3"/>
    </row>
    <row r="576" spans="1:9" ht="15" customHeight="1" x14ac:dyDescent="0.25">
      <c r="A576" s="3"/>
      <c r="B576" s="3" t="s">
        <v>1773</v>
      </c>
      <c r="C576" s="3" t="s">
        <v>1784</v>
      </c>
      <c r="D576" s="3" t="s">
        <v>1785</v>
      </c>
      <c r="E576" s="3" t="s">
        <v>223</v>
      </c>
      <c r="F576" s="3" t="s">
        <v>219</v>
      </c>
      <c r="G576" s="3"/>
      <c r="H576" s="4" t="s">
        <v>410</v>
      </c>
      <c r="I576" s="3"/>
    </row>
    <row r="577" spans="1:9" ht="15" customHeight="1" x14ac:dyDescent="0.25">
      <c r="A577" s="3"/>
      <c r="B577" s="3" t="s">
        <v>1773</v>
      </c>
      <c r="C577" s="3" t="s">
        <v>1786</v>
      </c>
      <c r="D577" s="3" t="s">
        <v>1787</v>
      </c>
      <c r="E577" s="3" t="s">
        <v>223</v>
      </c>
      <c r="F577" s="3" t="s">
        <v>219</v>
      </c>
      <c r="G577" s="3"/>
      <c r="H577" s="4" t="s">
        <v>410</v>
      </c>
      <c r="I577" s="3"/>
    </row>
    <row r="578" spans="1:9" ht="15" customHeight="1" x14ac:dyDescent="0.25">
      <c r="A578" s="3"/>
      <c r="B578" s="3" t="s">
        <v>1773</v>
      </c>
      <c r="C578" s="3" t="s">
        <v>1788</v>
      </c>
      <c r="D578" s="3" t="s">
        <v>1789</v>
      </c>
      <c r="E578" s="3" t="s">
        <v>223</v>
      </c>
      <c r="F578" s="3" t="s">
        <v>219</v>
      </c>
      <c r="G578" s="3"/>
      <c r="H578" s="4" t="s">
        <v>410</v>
      </c>
      <c r="I578" s="3"/>
    </row>
    <row r="579" spans="1:9" ht="15" customHeight="1" x14ac:dyDescent="0.25">
      <c r="A579" s="3"/>
      <c r="B579" s="3" t="s">
        <v>1790</v>
      </c>
      <c r="C579" s="3" t="s">
        <v>544</v>
      </c>
      <c r="D579" s="3" t="s">
        <v>744</v>
      </c>
      <c r="E579" s="3" t="s">
        <v>223</v>
      </c>
      <c r="F579" s="3" t="s">
        <v>219</v>
      </c>
      <c r="G579" s="3"/>
      <c r="H579" s="4" t="s">
        <v>166</v>
      </c>
      <c r="I579" s="3"/>
    </row>
    <row r="580" spans="1:9" ht="15" customHeight="1" x14ac:dyDescent="0.25">
      <c r="A580" s="5">
        <v>98381479</v>
      </c>
      <c r="B580" s="3" t="s">
        <v>179</v>
      </c>
      <c r="C580" s="3" t="s">
        <v>1791</v>
      </c>
      <c r="D580" s="3" t="s">
        <v>1792</v>
      </c>
      <c r="E580" s="3" t="s">
        <v>223</v>
      </c>
      <c r="F580" s="3" t="s">
        <v>243</v>
      </c>
      <c r="G580" s="4" t="s">
        <v>81</v>
      </c>
      <c r="H580" s="4" t="s">
        <v>3</v>
      </c>
      <c r="I580" s="3"/>
    </row>
    <row r="581" spans="1:9" ht="15" customHeight="1" x14ac:dyDescent="0.25">
      <c r="A581" s="3"/>
      <c r="B581" s="3" t="s">
        <v>1793</v>
      </c>
      <c r="C581" s="3" t="s">
        <v>573</v>
      </c>
      <c r="D581" s="3" t="s">
        <v>1794</v>
      </c>
      <c r="E581" s="3" t="s">
        <v>223</v>
      </c>
      <c r="F581" s="3" t="s">
        <v>219</v>
      </c>
      <c r="G581" s="3"/>
      <c r="H581" s="4" t="s">
        <v>1795</v>
      </c>
      <c r="I581" s="3"/>
    </row>
    <row r="582" spans="1:9" ht="15" customHeight="1" x14ac:dyDescent="0.25">
      <c r="A582" s="5">
        <v>12990663</v>
      </c>
      <c r="B582" s="3" t="s">
        <v>1796</v>
      </c>
      <c r="C582" s="3" t="s">
        <v>1797</v>
      </c>
      <c r="D582" s="3" t="s">
        <v>1798</v>
      </c>
      <c r="E582" s="3" t="s">
        <v>223</v>
      </c>
      <c r="F582" s="3" t="s">
        <v>224</v>
      </c>
      <c r="G582" s="4" t="s">
        <v>1799</v>
      </c>
      <c r="H582" s="4" t="s">
        <v>10</v>
      </c>
      <c r="I582" s="3"/>
    </row>
    <row r="583" spans="1:9" ht="15" customHeight="1" x14ac:dyDescent="0.25">
      <c r="A583" s="5">
        <v>13010699</v>
      </c>
      <c r="B583" s="3" t="s">
        <v>199</v>
      </c>
      <c r="C583" s="3" t="s">
        <v>1800</v>
      </c>
      <c r="D583" s="3" t="s">
        <v>1801</v>
      </c>
      <c r="E583" s="3" t="s">
        <v>223</v>
      </c>
      <c r="F583" s="3" t="s">
        <v>224</v>
      </c>
      <c r="G583" s="4" t="s">
        <v>6</v>
      </c>
      <c r="H583" s="4" t="s">
        <v>240</v>
      </c>
      <c r="I583" s="3"/>
    </row>
    <row r="584" spans="1:9" ht="15" customHeight="1" x14ac:dyDescent="0.25">
      <c r="A584" s="5">
        <v>1085305438</v>
      </c>
      <c r="B584" s="3" t="s">
        <v>1802</v>
      </c>
      <c r="C584" s="3" t="s">
        <v>1803</v>
      </c>
      <c r="D584" s="3" t="s">
        <v>1804</v>
      </c>
      <c r="E584" s="3" t="s">
        <v>223</v>
      </c>
      <c r="F584" s="3" t="s">
        <v>259</v>
      </c>
      <c r="G584" s="3" t="s">
        <v>260</v>
      </c>
      <c r="H584" s="4" t="s">
        <v>365</v>
      </c>
      <c r="I584" s="3"/>
    </row>
    <row r="585" spans="1:9" ht="15" customHeight="1" x14ac:dyDescent="0.25">
      <c r="A585" s="5">
        <v>59824084</v>
      </c>
      <c r="B585" s="3" t="s">
        <v>188</v>
      </c>
      <c r="C585" s="3" t="s">
        <v>1805</v>
      </c>
      <c r="D585" s="3" t="s">
        <v>1806</v>
      </c>
      <c r="E585" s="3" t="s">
        <v>223</v>
      </c>
      <c r="F585" s="3" t="s">
        <v>243</v>
      </c>
      <c r="G585" s="3" t="s">
        <v>2</v>
      </c>
      <c r="H585" s="4" t="s">
        <v>17</v>
      </c>
      <c r="I585" s="3"/>
    </row>
    <row r="586" spans="1:9" ht="15" customHeight="1" x14ac:dyDescent="0.25">
      <c r="A586" s="5">
        <v>87455593</v>
      </c>
      <c r="B586" s="3" t="s">
        <v>1807</v>
      </c>
      <c r="C586" s="3" t="s">
        <v>1808</v>
      </c>
      <c r="D586" s="3" t="s">
        <v>1809</v>
      </c>
      <c r="E586" s="3" t="s">
        <v>223</v>
      </c>
      <c r="F586" s="3" t="s">
        <v>259</v>
      </c>
      <c r="G586" s="3" t="s">
        <v>260</v>
      </c>
      <c r="H586" s="4" t="s">
        <v>46</v>
      </c>
      <c r="I586" s="3"/>
    </row>
    <row r="587" spans="1:9" ht="15" customHeight="1" x14ac:dyDescent="0.25">
      <c r="A587" s="5">
        <v>87491129</v>
      </c>
      <c r="B587" s="3" t="s">
        <v>182</v>
      </c>
      <c r="C587" s="3" t="s">
        <v>33</v>
      </c>
      <c r="D587" s="3" t="s">
        <v>1810</v>
      </c>
      <c r="E587" s="3" t="s">
        <v>223</v>
      </c>
      <c r="F587" s="3" t="s">
        <v>224</v>
      </c>
      <c r="G587" s="4" t="s">
        <v>1471</v>
      </c>
      <c r="H587" s="4" t="s">
        <v>17</v>
      </c>
      <c r="I587" s="3"/>
    </row>
    <row r="588" spans="1:9" ht="15" customHeight="1" x14ac:dyDescent="0.25">
      <c r="A588" s="5">
        <v>98389838</v>
      </c>
      <c r="B588" s="3" t="s">
        <v>1811</v>
      </c>
      <c r="C588" s="3" t="s">
        <v>1812</v>
      </c>
      <c r="D588" s="3" t="s">
        <v>1813</v>
      </c>
      <c r="E588" s="3" t="s">
        <v>223</v>
      </c>
      <c r="F588" s="3" t="s">
        <v>259</v>
      </c>
      <c r="G588" s="3" t="s">
        <v>260</v>
      </c>
      <c r="H588" s="4" t="s">
        <v>46</v>
      </c>
      <c r="I588" s="3"/>
    </row>
    <row r="589" spans="1:9" ht="15" customHeight="1" x14ac:dyDescent="0.25">
      <c r="A589" s="5">
        <v>59834495</v>
      </c>
      <c r="B589" s="3" t="s">
        <v>1814</v>
      </c>
      <c r="C589" s="3" t="s">
        <v>1815</v>
      </c>
      <c r="D589" s="3" t="s">
        <v>1816</v>
      </c>
      <c r="E589" s="3" t="s">
        <v>223</v>
      </c>
      <c r="F589" s="3" t="s">
        <v>228</v>
      </c>
      <c r="G589" s="4" t="s">
        <v>225</v>
      </c>
      <c r="H589" s="4" t="s">
        <v>1817</v>
      </c>
      <c r="I589" s="3"/>
    </row>
    <row r="590" spans="1:9" ht="15" customHeight="1" x14ac:dyDescent="0.25">
      <c r="A590" s="5">
        <v>52765644</v>
      </c>
      <c r="B590" s="3" t="s">
        <v>62</v>
      </c>
      <c r="C590" s="3" t="s">
        <v>1818</v>
      </c>
      <c r="D590" s="3" t="s">
        <v>1819</v>
      </c>
      <c r="E590" s="3" t="s">
        <v>223</v>
      </c>
      <c r="F590" s="3" t="s">
        <v>224</v>
      </c>
      <c r="G590" s="4" t="s">
        <v>6</v>
      </c>
      <c r="H590" s="4" t="s">
        <v>410</v>
      </c>
      <c r="I590" s="3"/>
    </row>
    <row r="591" spans="1:9" ht="15" customHeight="1" x14ac:dyDescent="0.25">
      <c r="A591" s="5">
        <v>27435180</v>
      </c>
      <c r="B591" s="3" t="s">
        <v>1820</v>
      </c>
      <c r="C591" s="3" t="s">
        <v>1821</v>
      </c>
      <c r="D591" s="3" t="s">
        <v>1822</v>
      </c>
      <c r="E591" s="3" t="s">
        <v>223</v>
      </c>
      <c r="F591" s="3" t="s">
        <v>259</v>
      </c>
      <c r="G591" s="3" t="s">
        <v>260</v>
      </c>
      <c r="H591" s="4" t="s">
        <v>236</v>
      </c>
      <c r="I591" s="3"/>
    </row>
    <row r="592" spans="1:9" ht="15" customHeight="1" x14ac:dyDescent="0.25">
      <c r="A592" s="5">
        <v>1123321521</v>
      </c>
      <c r="B592" s="3" t="s">
        <v>1823</v>
      </c>
      <c r="C592" s="3" t="s">
        <v>1824</v>
      </c>
      <c r="D592" s="3" t="s">
        <v>1825</v>
      </c>
      <c r="E592" s="3" t="s">
        <v>223</v>
      </c>
      <c r="F592" s="3" t="s">
        <v>259</v>
      </c>
      <c r="G592" s="3" t="s">
        <v>260</v>
      </c>
      <c r="H592" s="4" t="s">
        <v>281</v>
      </c>
      <c r="I592" s="3"/>
    </row>
    <row r="593" spans="1:9" ht="15" customHeight="1" x14ac:dyDescent="0.25">
      <c r="A593" s="5">
        <v>1085313877</v>
      </c>
      <c r="B593" s="3" t="s">
        <v>1826</v>
      </c>
      <c r="C593" s="3" t="s">
        <v>1827</v>
      </c>
      <c r="D593" s="3" t="s">
        <v>1828</v>
      </c>
      <c r="E593" s="3" t="s">
        <v>223</v>
      </c>
      <c r="F593" s="3" t="s">
        <v>259</v>
      </c>
      <c r="G593" s="3" t="s">
        <v>260</v>
      </c>
      <c r="H593" s="4" t="s">
        <v>429</v>
      </c>
      <c r="I593" s="3"/>
    </row>
    <row r="594" spans="1:9" ht="15" customHeight="1" x14ac:dyDescent="0.25">
      <c r="A594" s="5">
        <v>1085662341</v>
      </c>
      <c r="B594" s="3" t="s">
        <v>1829</v>
      </c>
      <c r="C594" s="3" t="s">
        <v>1830</v>
      </c>
      <c r="D594" s="3" t="s">
        <v>1831</v>
      </c>
      <c r="E594" s="3" t="s">
        <v>223</v>
      </c>
      <c r="F594" s="3" t="s">
        <v>259</v>
      </c>
      <c r="G594" s="3" t="s">
        <v>260</v>
      </c>
      <c r="H594" s="4" t="s">
        <v>1235</v>
      </c>
      <c r="I594" s="3"/>
    </row>
    <row r="595" spans="1:9" ht="15" customHeight="1" x14ac:dyDescent="0.25">
      <c r="A595" s="5">
        <v>27450979</v>
      </c>
      <c r="B595" s="3" t="s">
        <v>1832</v>
      </c>
      <c r="C595" s="3" t="s">
        <v>1833</v>
      </c>
      <c r="D595" s="3" t="s">
        <v>1834</v>
      </c>
      <c r="E595" s="3" t="s">
        <v>223</v>
      </c>
      <c r="F595" s="3" t="s">
        <v>259</v>
      </c>
      <c r="G595" s="3" t="s">
        <v>260</v>
      </c>
      <c r="H595" s="4" t="s">
        <v>728</v>
      </c>
      <c r="I595" s="3"/>
    </row>
    <row r="596" spans="1:9" ht="15" customHeight="1" x14ac:dyDescent="0.25">
      <c r="A596" s="5">
        <v>59312346</v>
      </c>
      <c r="B596" s="3" t="s">
        <v>1835</v>
      </c>
      <c r="C596" s="3" t="s">
        <v>1836</v>
      </c>
      <c r="D596" s="3" t="s">
        <v>1837</v>
      </c>
      <c r="E596" s="3" t="s">
        <v>223</v>
      </c>
      <c r="F596" s="3" t="s">
        <v>259</v>
      </c>
      <c r="G596" s="3" t="s">
        <v>260</v>
      </c>
      <c r="H596" s="4" t="s">
        <v>17</v>
      </c>
      <c r="I596" s="3"/>
    </row>
    <row r="597" spans="1:9" ht="15" customHeight="1" x14ac:dyDescent="0.25">
      <c r="A597" s="5">
        <v>1087046003</v>
      </c>
      <c r="B597" s="3" t="s">
        <v>1838</v>
      </c>
      <c r="C597" s="3" t="s">
        <v>1839</v>
      </c>
      <c r="D597" s="3" t="s">
        <v>1840</v>
      </c>
      <c r="E597" s="3" t="s">
        <v>223</v>
      </c>
      <c r="F597" s="3" t="s">
        <v>259</v>
      </c>
      <c r="G597" s="3" t="s">
        <v>260</v>
      </c>
      <c r="H597" s="4" t="s">
        <v>87</v>
      </c>
      <c r="I597" s="3"/>
    </row>
    <row r="598" spans="1:9" ht="15" customHeight="1" x14ac:dyDescent="0.25">
      <c r="A598" s="5">
        <v>36758343</v>
      </c>
      <c r="B598" s="3" t="s">
        <v>1841</v>
      </c>
      <c r="C598" s="3" t="s">
        <v>1842</v>
      </c>
      <c r="D598" s="3" t="s">
        <v>1843</v>
      </c>
      <c r="E598" s="3" t="s">
        <v>223</v>
      </c>
      <c r="F598" s="3" t="s">
        <v>259</v>
      </c>
      <c r="G598" s="3" t="s">
        <v>260</v>
      </c>
      <c r="H598" s="4" t="s">
        <v>236</v>
      </c>
      <c r="I598" s="3"/>
    </row>
    <row r="599" spans="1:9" ht="15" customHeight="1" x14ac:dyDescent="0.25">
      <c r="A599" s="5">
        <v>27149589</v>
      </c>
      <c r="B599" s="3" t="s">
        <v>133</v>
      </c>
      <c r="C599" s="3" t="s">
        <v>1844</v>
      </c>
      <c r="D599" s="3" t="s">
        <v>1845</v>
      </c>
      <c r="E599" s="3" t="s">
        <v>223</v>
      </c>
      <c r="F599" s="3" t="s">
        <v>228</v>
      </c>
      <c r="G599" s="4" t="s">
        <v>6</v>
      </c>
      <c r="H599" s="4" t="s">
        <v>56</v>
      </c>
      <c r="I599" s="3"/>
    </row>
    <row r="600" spans="1:9" ht="15" customHeight="1" x14ac:dyDescent="0.25">
      <c r="A600" s="5">
        <v>27094789</v>
      </c>
      <c r="B600" s="3" t="s">
        <v>171</v>
      </c>
      <c r="C600" s="3" t="s">
        <v>1846</v>
      </c>
      <c r="D600" s="3" t="s">
        <v>1847</v>
      </c>
      <c r="E600" s="3" t="s">
        <v>223</v>
      </c>
      <c r="F600" s="3" t="s">
        <v>228</v>
      </c>
      <c r="G600" s="4" t="s">
        <v>23</v>
      </c>
      <c r="H600" s="4" t="s">
        <v>304</v>
      </c>
      <c r="I600" s="3"/>
    </row>
    <row r="601" spans="1:9" ht="15" customHeight="1" x14ac:dyDescent="0.25">
      <c r="A601" s="5">
        <v>94507863</v>
      </c>
      <c r="B601" s="3" t="s">
        <v>1848</v>
      </c>
      <c r="C601" s="3" t="s">
        <v>1849</v>
      </c>
      <c r="D601" s="3" t="s">
        <v>1850</v>
      </c>
      <c r="E601" s="3" t="s">
        <v>223</v>
      </c>
      <c r="F601" s="3" t="s">
        <v>259</v>
      </c>
      <c r="G601" s="3" t="s">
        <v>260</v>
      </c>
      <c r="H601" s="4" t="s">
        <v>295</v>
      </c>
      <c r="I601" s="3"/>
    </row>
    <row r="602" spans="1:9" ht="15" customHeight="1" thickBot="1" x14ac:dyDescent="0.3">
      <c r="A602" s="2"/>
      <c r="B602" s="2"/>
      <c r="C602" s="2"/>
      <c r="D602" s="2"/>
      <c r="E602" s="2"/>
      <c r="F602" s="2"/>
      <c r="G602" s="2"/>
      <c r="H602" s="2"/>
      <c r="I602" s="2"/>
    </row>
    <row r="603" spans="1:9" ht="15" customHeight="1" thickBot="1" x14ac:dyDescent="0.3">
      <c r="A603" s="1"/>
      <c r="B603" s="1"/>
      <c r="C603" s="1"/>
      <c r="D603" s="1"/>
      <c r="E603" s="1"/>
      <c r="F603" s="1"/>
      <c r="G603" s="1"/>
      <c r="H603" s="1"/>
      <c r="I60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CONTRATOS</vt:lpstr>
      <vt:lpstr>Hoja8</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dcterms:created xsi:type="dcterms:W3CDTF">2020-10-14T21:54:43Z</dcterms:created>
  <dcterms:modified xsi:type="dcterms:W3CDTF">2020-11-11T16:01:38Z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